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 tabRatio="797" firstSheet="63" activeTab="72"/>
  </bookViews>
  <sheets>
    <sheet name="Биол 2-1" sheetId="77" r:id="rId1"/>
    <sheet name="Биол4-1" sheetId="1" r:id="rId2"/>
    <sheet name="Биол 10-1" sheetId="86" r:id="rId3"/>
    <sheet name="готв2-6" sheetId="4" r:id="rId4"/>
    <sheet name="готв4" sheetId="5" r:id="rId5"/>
    <sheet name="готв5" sheetId="10" r:id="rId6"/>
    <sheet name="готв6" sheetId="6" r:id="rId7"/>
    <sheet name="готв7" sheetId="7" r:id="rId8"/>
    <sheet name="готв 8" sheetId="8" r:id="rId9"/>
    <sheet name="готв 9" sheetId="9" r:id="rId10"/>
    <sheet name="готв 11" sheetId="78" r:id="rId11"/>
    <sheet name="готв 13" sheetId="76" r:id="rId12"/>
    <sheet name="готв 15" sheetId="11" r:id="rId13"/>
    <sheet name="гвард8" sheetId="12" r:id="rId14"/>
    <sheet name="гвард16" sheetId="13" r:id="rId15"/>
    <sheet name="дзержин 27" sheetId="85" r:id="rId16"/>
    <sheet name="дзержин 27Б" sheetId="79" r:id="rId17"/>
    <sheet name="добр4" sheetId="14" r:id="rId18"/>
    <sheet name="добр20" sheetId="80" r:id="rId19"/>
    <sheet name="комсомоль1" sheetId="17" r:id="rId20"/>
    <sheet name="комсомоль3а" sheetId="16" r:id="rId21"/>
    <sheet name="комсомоль3" sheetId="18" r:id="rId22"/>
    <sheet name="комсомоль4а" sheetId="19" r:id="rId23"/>
    <sheet name="комсомоль4б" sheetId="20" r:id="rId24"/>
    <sheet name="комсомоль5" sheetId="21" r:id="rId25"/>
    <sheet name="коопер1" sheetId="23" r:id="rId26"/>
    <sheet name="коопер2" sheetId="24" r:id="rId27"/>
    <sheet name="коопер5" sheetId="26" r:id="rId28"/>
    <sheet name="коопер6" sheetId="27" r:id="rId29"/>
    <sheet name="коопер7" sheetId="28" r:id="rId30"/>
    <sheet name="коопер8" sheetId="29" r:id="rId31"/>
    <sheet name="коопер9" sheetId="30" r:id="rId32"/>
    <sheet name="коопер11" sheetId="32" r:id="rId33"/>
    <sheet name="коопер12" sheetId="33" r:id="rId34"/>
    <sheet name="ленинград 2" sheetId="35" r:id="rId35"/>
    <sheet name="ленинград 4" sheetId="37" r:id="rId36"/>
    <sheet name="ленинград 9" sheetId="41" r:id="rId37"/>
    <sheet name="ленинград 10" sheetId="42" r:id="rId38"/>
    <sheet name="ленинград 15" sheetId="43" r:id="rId39"/>
    <sheet name="ленинград17" sheetId="45" r:id="rId40"/>
    <sheet name="ленинград18" sheetId="44" r:id="rId41"/>
    <sheet name="ленинград19" sheetId="46" r:id="rId42"/>
    <sheet name="ленинград21" sheetId="47" r:id="rId43"/>
    <sheet name="ленинград28" sheetId="50" r:id="rId44"/>
    <sheet name="ленинград29" sheetId="51" r:id="rId45"/>
    <sheet name="литейный 1" sheetId="52" r:id="rId46"/>
    <sheet name="литейный 5" sheetId="53" r:id="rId47"/>
    <sheet name="литейный 7" sheetId="54" r:id="rId48"/>
    <sheet name="литейный 9" sheetId="55" r:id="rId49"/>
    <sheet name="литейный 11" sheetId="56" r:id="rId50"/>
    <sheet name="литейный 13" sheetId="57" r:id="rId51"/>
    <sheet name="металл 1" sheetId="58" r:id="rId52"/>
    <sheet name="металл 2" sheetId="59" r:id="rId53"/>
    <sheet name="металл 3" sheetId="60" r:id="rId54"/>
    <sheet name="металл 6" sheetId="61" r:id="rId55"/>
    <sheet name="металл 7" sheetId="62" r:id="rId56"/>
    <sheet name="металл 9" sheetId="63" r:id="rId57"/>
    <sheet name="московская45" sheetId="81" r:id="rId58"/>
    <sheet name="московская47" sheetId="64" r:id="rId59"/>
    <sheet name="московская49" sheetId="65" r:id="rId60"/>
    <sheet name="московская51" sheetId="66" r:id="rId61"/>
    <sheet name="московская53" sheetId="67" r:id="rId62"/>
    <sheet name="московская55" sheetId="68" r:id="rId63"/>
    <sheet name="надежденский 1-1" sheetId="83" r:id="rId64"/>
    <sheet name="надежденский 1-2" sheetId="82" r:id="rId65"/>
    <sheet name="надежденский 1-4" sheetId="84" r:id="rId66"/>
    <sheet name="надежденский 3-2" sheetId="88" r:id="rId67"/>
    <sheet name="объездная7" sheetId="69" r:id="rId68"/>
    <sheet name="фабричный2" sheetId="71" r:id="rId69"/>
    <sheet name="фабричный3" sheetId="72" r:id="rId70"/>
    <sheet name="чкалова 2" sheetId="73" r:id="rId71"/>
    <sheet name="чкалова 33" sheetId="74" r:id="rId72"/>
    <sheet name="чкалова 42" sheetId="75" r:id="rId73"/>
  </sheets>
  <calcPr calcId="125725" iterateDelta="1E-4"/>
</workbook>
</file>

<file path=xl/calcChain.xml><?xml version="1.0" encoding="utf-8"?>
<calcChain xmlns="http://schemas.openxmlformats.org/spreadsheetml/2006/main">
  <c r="E14" i="57"/>
  <c r="E23"/>
  <c r="E22"/>
  <c r="E21"/>
  <c r="E20"/>
  <c r="E14" i="74"/>
  <c r="E22"/>
  <c r="E21"/>
  <c r="E20"/>
  <c r="E19"/>
  <c r="E14" i="69"/>
  <c r="E22"/>
  <c r="E20"/>
  <c r="E21"/>
  <c r="E23" i="67"/>
  <c r="E18" i="66"/>
  <c r="E14"/>
  <c r="E24"/>
  <c r="E22"/>
  <c r="E21"/>
  <c r="E20"/>
  <c r="E19"/>
  <c r="E14" i="65"/>
  <c r="E18"/>
  <c r="E23"/>
  <c r="E22"/>
  <c r="E21"/>
  <c r="E20"/>
  <c r="E27"/>
  <c r="E25" i="64"/>
  <c r="E24"/>
  <c r="E14"/>
  <c r="E23"/>
  <c r="E22"/>
  <c r="E21"/>
  <c r="E20"/>
  <c r="E24" i="63"/>
  <c r="E22"/>
  <c r="E18" i="62"/>
  <c r="E14"/>
  <c r="E16"/>
  <c r="E22"/>
  <c r="E21"/>
  <c r="E20"/>
  <c r="E19"/>
  <c r="E23"/>
  <c r="E14" i="61"/>
  <c r="E24" s="1"/>
  <c r="E22"/>
  <c r="E21"/>
  <c r="E20"/>
  <c r="E23"/>
  <c r="E23" i="60"/>
  <c r="E22"/>
  <c r="E18" i="59"/>
  <c r="E14"/>
  <c r="E23"/>
  <c r="E22"/>
  <c r="E21"/>
  <c r="E20"/>
  <c r="E24"/>
  <c r="E22" i="58"/>
  <c r="E21"/>
  <c r="E25" i="66" l="1"/>
  <c r="E28" i="65"/>
  <c r="E24" i="62"/>
  <c r="E18" i="54" l="1"/>
  <c r="E14"/>
  <c r="E22"/>
  <c r="E21"/>
  <c r="E20"/>
  <c r="E18" i="53"/>
  <c r="E19"/>
  <c r="E14"/>
  <c r="E22"/>
  <c r="E20"/>
  <c r="E18" i="47"/>
  <c r="E15"/>
  <c r="E14"/>
  <c r="E23"/>
  <c r="E22"/>
  <c r="E21"/>
  <c r="E20"/>
  <c r="E14" i="46"/>
  <c r="E23"/>
  <c r="E22"/>
  <c r="E21"/>
  <c r="E20"/>
  <c r="E19" i="44"/>
  <c r="E17" i="43"/>
  <c r="E13"/>
  <c r="E15"/>
  <c r="E18"/>
  <c r="E22"/>
  <c r="E21"/>
  <c r="E20"/>
  <c r="E19"/>
  <c r="E15" i="41"/>
  <c r="E18"/>
  <c r="E14"/>
  <c r="E22"/>
  <c r="E21"/>
  <c r="E20"/>
  <c r="E18" i="37"/>
  <c r="E16"/>
  <c r="E14"/>
  <c r="E23"/>
  <c r="E22"/>
  <c r="E21"/>
  <c r="E20"/>
  <c r="E14" i="35"/>
  <c r="E20"/>
  <c r="E23"/>
  <c r="E22"/>
  <c r="E21"/>
  <c r="E25" i="47" l="1"/>
  <c r="F22" i="27" l="1"/>
  <c r="F12" i="23"/>
  <c r="E26" i="78" l="1"/>
  <c r="E26" i="75"/>
  <c r="E24" i="74"/>
  <c r="E27" i="73"/>
  <c r="E26" i="71"/>
  <c r="E23" i="69"/>
  <c r="E30" i="88"/>
  <c r="E28" i="83" l="1"/>
  <c r="E27" i="81"/>
  <c r="E26" i="59"/>
  <c r="E24" i="57" l="1"/>
  <c r="E27" i="56"/>
  <c r="E25" i="53"/>
  <c r="E25" i="50"/>
  <c r="E25" i="46"/>
  <c r="E23" i="43"/>
  <c r="E24" i="37"/>
  <c r="E25" i="21"/>
  <c r="E26" i="20"/>
  <c r="E27" i="19" l="1"/>
  <c r="E26" i="11"/>
  <c r="E26" i="76"/>
  <c r="E24" i="9"/>
  <c r="E25" i="8"/>
  <c r="E26" i="7"/>
  <c r="E25" i="5" l="1"/>
  <c r="E24" i="13" l="1"/>
  <c r="E27" i="86" l="1"/>
  <c r="E27" i="1"/>
  <c r="E24" i="72"/>
  <c r="E24" i="54"/>
  <c r="E25" i="52"/>
  <c r="E25" i="51"/>
  <c r="E26" i="45"/>
  <c r="E24" i="42"/>
  <c r="E24" i="41"/>
  <c r="E25" i="35"/>
  <c r="E22" i="17"/>
  <c r="E23" i="75"/>
  <c r="E22"/>
  <c r="E20"/>
  <c r="E18"/>
  <c r="E17"/>
  <c r="E15"/>
  <c r="E13"/>
  <c r="E12"/>
  <c r="E25"/>
  <c r="E17" i="74"/>
  <c r="E15"/>
  <c r="E23"/>
  <c r="E12"/>
  <c r="E13"/>
  <c r="E24" i="73"/>
  <c r="E23"/>
  <c r="E21"/>
  <c r="E19"/>
  <c r="E18"/>
  <c r="E16"/>
  <c r="E14"/>
  <c r="E13"/>
  <c r="E22"/>
  <c r="E17"/>
  <c r="E12"/>
  <c r="E23" i="72"/>
  <c r="E15"/>
  <c r="E16"/>
  <c r="E17"/>
  <c r="E18"/>
  <c r="E19"/>
  <c r="E21"/>
  <c r="E22"/>
  <c r="E12"/>
  <c r="E22" i="71" l="1"/>
  <c r="E21"/>
  <c r="E20"/>
  <c r="E19"/>
  <c r="E18"/>
  <c r="E17"/>
  <c r="E16"/>
  <c r="E15"/>
  <c r="E14"/>
  <c r="E13"/>
  <c r="E12"/>
  <c r="E19" i="69" l="1"/>
  <c r="E18"/>
  <c r="E17"/>
  <c r="E15"/>
  <c r="E13"/>
  <c r="E12"/>
  <c r="E23" i="88"/>
  <c r="E17"/>
  <c r="E22"/>
  <c r="E21"/>
  <c r="E20"/>
  <c r="E19"/>
  <c r="E18"/>
  <c r="E16"/>
  <c r="E15"/>
  <c r="E13"/>
  <c r="E12" l="1"/>
  <c r="K38"/>
  <c r="E14"/>
  <c r="E13" i="84" l="1"/>
  <c r="E14"/>
  <c r="E15"/>
  <c r="E16"/>
  <c r="E17"/>
  <c r="E18"/>
  <c r="E25" s="1"/>
  <c r="E19"/>
  <c r="E20"/>
  <c r="E21"/>
  <c r="E12"/>
  <c r="E13" i="82"/>
  <c r="E14"/>
  <c r="E15"/>
  <c r="E16"/>
  <c r="E17"/>
  <c r="E18"/>
  <c r="E19"/>
  <c r="E20"/>
  <c r="E21"/>
  <c r="E13" i="83" l="1"/>
  <c r="E14"/>
  <c r="E15"/>
  <c r="E16"/>
  <c r="E17"/>
  <c r="E18"/>
  <c r="E19"/>
  <c r="E20"/>
  <c r="E21"/>
  <c r="E12"/>
  <c r="E24"/>
  <c r="E14" i="68"/>
  <c r="E15"/>
  <c r="E16"/>
  <c r="E17"/>
  <c r="E18"/>
  <c r="E20"/>
  <c r="E21"/>
  <c r="E20" i="67"/>
  <c r="E21"/>
  <c r="E23" i="66"/>
  <c r="E17"/>
  <c r="E15"/>
  <c r="E13"/>
  <c r="E12"/>
  <c r="E17" i="65"/>
  <c r="E15"/>
  <c r="E13"/>
  <c r="E12"/>
  <c r="E24"/>
  <c r="E19" i="64"/>
  <c r="E18"/>
  <c r="E17"/>
  <c r="E15"/>
  <c r="E13"/>
  <c r="E12"/>
  <c r="E19" i="81"/>
  <c r="E13" l="1"/>
  <c r="E14"/>
  <c r="E15"/>
  <c r="E16"/>
  <c r="E17"/>
  <c r="E18"/>
  <c r="E20"/>
  <c r="E21"/>
  <c r="E22"/>
  <c r="E23"/>
  <c r="E12"/>
  <c r="E14" i="63"/>
  <c r="E13"/>
  <c r="E15"/>
  <c r="E17"/>
  <c r="E18"/>
  <c r="E19"/>
  <c r="E20"/>
  <c r="E21"/>
  <c r="E12"/>
  <c r="E17" i="62"/>
  <c r="E15"/>
  <c r="E13"/>
  <c r="E12"/>
  <c r="E18" i="61"/>
  <c r="E17"/>
  <c r="E15"/>
  <c r="E13"/>
  <c r="E12"/>
  <c r="E24" i="50"/>
  <c r="E24" i="47"/>
  <c r="E24" i="46"/>
  <c r="E24" i="45"/>
  <c r="E24" i="35"/>
  <c r="E23" i="54"/>
  <c r="E23" i="53"/>
  <c r="E24" i="76"/>
  <c r="E27" i="6"/>
  <c r="E24"/>
  <c r="E24" i="5"/>
  <c r="E17" i="59" l="1"/>
  <c r="E15"/>
  <c r="E25"/>
  <c r="E13"/>
  <c r="E12"/>
  <c r="E19" i="58" l="1"/>
  <c r="E20"/>
  <c r="E19" i="57" l="1"/>
  <c r="E18"/>
  <c r="E17"/>
  <c r="E15"/>
  <c r="E13"/>
  <c r="E12"/>
  <c r="E23" i="56"/>
  <c r="E22"/>
  <c r="E20"/>
  <c r="E18"/>
  <c r="E17"/>
  <c r="E16"/>
  <c r="E15"/>
  <c r="E14"/>
  <c r="E13"/>
  <c r="E12"/>
  <c r="E19" i="55"/>
  <c r="E13"/>
  <c r="E14"/>
  <c r="E15"/>
  <c r="E17"/>
  <c r="E18"/>
  <c r="E20"/>
  <c r="E21"/>
  <c r="E22"/>
  <c r="E12"/>
  <c r="E17" i="54"/>
  <c r="E15"/>
  <c r="E13"/>
  <c r="E12"/>
  <c r="E21" i="53"/>
  <c r="E17"/>
  <c r="E15"/>
  <c r="E13"/>
  <c r="E12"/>
  <c r="E23" i="55" l="1"/>
  <c r="E22" i="52"/>
  <c r="E21"/>
  <c r="E20"/>
  <c r="E19"/>
  <c r="E18"/>
  <c r="E17"/>
  <c r="E15"/>
  <c r="E14"/>
  <c r="E13"/>
  <c r="E12"/>
  <c r="E22" i="51"/>
  <c r="E23"/>
  <c r="E21"/>
  <c r="E17"/>
  <c r="E14"/>
  <c r="E13"/>
  <c r="E12"/>
  <c r="E22" i="50"/>
  <c r="E20"/>
  <c r="E18"/>
  <c r="E17"/>
  <c r="E15"/>
  <c r="E13"/>
  <c r="E12"/>
  <c r="E17" i="47"/>
  <c r="E12"/>
  <c r="E13"/>
  <c r="E18" i="46" l="1"/>
  <c r="E17"/>
  <c r="E15"/>
  <c r="E13"/>
  <c r="E12"/>
  <c r="E21" i="44"/>
  <c r="E20"/>
  <c r="E23" i="45"/>
  <c r="E22"/>
  <c r="E21"/>
  <c r="E20"/>
  <c r="E19"/>
  <c r="E18"/>
  <c r="E17"/>
  <c r="E16"/>
  <c r="E15"/>
  <c r="E14" l="1"/>
  <c r="E13"/>
  <c r="E12"/>
  <c r="E16" i="43"/>
  <c r="E14"/>
  <c r="E12"/>
  <c r="E23" i="42"/>
  <c r="E22"/>
  <c r="E21"/>
  <c r="E20"/>
  <c r="E18"/>
  <c r="E17"/>
  <c r="E15"/>
  <c r="E14"/>
  <c r="E13"/>
  <c r="E12"/>
  <c r="E23" i="41" l="1"/>
  <c r="E17"/>
  <c r="E13"/>
  <c r="E12"/>
  <c r="E17" i="37"/>
  <c r="E15"/>
  <c r="E12"/>
  <c r="E13"/>
  <c r="E18" i="35"/>
  <c r="E17"/>
  <c r="E15"/>
  <c r="E13"/>
  <c r="E12"/>
  <c r="F13" i="33"/>
  <c r="F15"/>
  <c r="F16"/>
  <c r="F17"/>
  <c r="F18"/>
  <c r="F19"/>
  <c r="F20"/>
  <c r="F13" i="32"/>
  <c r="F14"/>
  <c r="F15"/>
  <c r="F16"/>
  <c r="F17"/>
  <c r="F18"/>
  <c r="F19"/>
  <c r="F20"/>
  <c r="F21" i="33" l="1"/>
  <c r="F21" i="32"/>
  <c r="F13" i="30"/>
  <c r="F14"/>
  <c r="F15"/>
  <c r="F16"/>
  <c r="F17"/>
  <c r="F18"/>
  <c r="F21" s="1"/>
  <c r="F19"/>
  <c r="F20"/>
  <c r="F13" i="29"/>
  <c r="F22" s="1"/>
  <c r="F15"/>
  <c r="F16"/>
  <c r="F17"/>
  <c r="F18"/>
  <c r="F19"/>
  <c r="F20"/>
  <c r="F13" i="28"/>
  <c r="F15"/>
  <c r="F16"/>
  <c r="F17"/>
  <c r="F18"/>
  <c r="F19"/>
  <c r="F20"/>
  <c r="F13" i="27"/>
  <c r="F15"/>
  <c r="F16"/>
  <c r="F17"/>
  <c r="F18"/>
  <c r="F19"/>
  <c r="F20"/>
  <c r="F12"/>
  <c r="F13" i="26"/>
  <c r="F15"/>
  <c r="F16"/>
  <c r="F17"/>
  <c r="F18"/>
  <c r="F19"/>
  <c r="F20"/>
  <c r="F13" i="24"/>
  <c r="F15"/>
  <c r="F16"/>
  <c r="F17"/>
  <c r="F18"/>
  <c r="F22" s="1"/>
  <c r="F19"/>
  <c r="F20"/>
  <c r="F21" i="28" l="1"/>
  <c r="F21" i="26"/>
  <c r="F15" i="23"/>
  <c r="F16"/>
  <c r="F17"/>
  <c r="F18"/>
  <c r="F19"/>
  <c r="F20"/>
  <c r="F13"/>
  <c r="E23" i="21"/>
  <c r="E22"/>
  <c r="E21"/>
  <c r="E20"/>
  <c r="E18"/>
  <c r="E17"/>
  <c r="E15"/>
  <c r="E13"/>
  <c r="E12"/>
  <c r="E23" i="20"/>
  <c r="E22"/>
  <c r="E20"/>
  <c r="E18"/>
  <c r="E17"/>
  <c r="E15"/>
  <c r="E14"/>
  <c r="E13"/>
  <c r="E12"/>
  <c r="E24" i="19"/>
  <c r="E23"/>
  <c r="E22"/>
  <c r="E20"/>
  <c r="E19"/>
  <c r="E18"/>
  <c r="E17"/>
  <c r="E15"/>
  <c r="E14"/>
  <c r="E13"/>
  <c r="E12"/>
  <c r="E17" i="18"/>
  <c r="E18"/>
  <c r="E19"/>
  <c r="E20"/>
  <c r="E21"/>
  <c r="E16"/>
  <c r="E15"/>
  <c r="E14"/>
  <c r="E13"/>
  <c r="F23" i="23" l="1"/>
  <c r="E22" i="18"/>
  <c r="E21" i="16"/>
  <c r="E20"/>
  <c r="E21" i="17" l="1"/>
  <c r="E21" i="14" l="1"/>
  <c r="E20"/>
  <c r="E13" i="79"/>
  <c r="E14"/>
  <c r="E15"/>
  <c r="E16"/>
  <c r="E17"/>
  <c r="E18"/>
  <c r="E19"/>
  <c r="E20"/>
  <c r="E24" s="1"/>
  <c r="E21"/>
  <c r="E22"/>
  <c r="E12"/>
  <c r="E14" i="85"/>
  <c r="E15"/>
  <c r="E16"/>
  <c r="E17"/>
  <c r="E18"/>
  <c r="E19"/>
  <c r="E20"/>
  <c r="E21"/>
  <c r="E22"/>
  <c r="E23"/>
  <c r="E13"/>
  <c r="E12"/>
  <c r="E26" l="1"/>
  <c r="E20" i="13"/>
  <c r="E18"/>
  <c r="E17"/>
  <c r="E16"/>
  <c r="E15"/>
  <c r="E13" l="1"/>
  <c r="E12"/>
  <c r="E18" i="12"/>
  <c r="E15" i="11" l="1"/>
  <c r="E23"/>
  <c r="E22"/>
  <c r="E21"/>
  <c r="E20"/>
  <c r="E19"/>
  <c r="E18"/>
  <c r="E17"/>
  <c r="E16"/>
  <c r="E13"/>
  <c r="E12"/>
  <c r="E23" i="76"/>
  <c r="E22"/>
  <c r="E21"/>
  <c r="E20"/>
  <c r="E19"/>
  <c r="E18"/>
  <c r="E17"/>
  <c r="E14"/>
  <c r="E13"/>
  <c r="E23" i="9"/>
  <c r="E22"/>
  <c r="E20"/>
  <c r="E18"/>
  <c r="E17"/>
  <c r="E15"/>
  <c r="E14"/>
  <c r="E13"/>
  <c r="E12"/>
  <c r="E23" i="8"/>
  <c r="E22"/>
  <c r="E21"/>
  <c r="E20"/>
  <c r="E18"/>
  <c r="E17"/>
  <c r="E15"/>
  <c r="E14"/>
  <c r="E12"/>
  <c r="E13"/>
  <c r="E24" i="7"/>
  <c r="E22"/>
  <c r="E21"/>
  <c r="E20"/>
  <c r="E19"/>
  <c r="E18"/>
  <c r="E17"/>
  <c r="E15"/>
  <c r="E14"/>
  <c r="E13"/>
  <c r="E12"/>
  <c r="E23" i="6"/>
  <c r="E22"/>
  <c r="E21"/>
  <c r="E20"/>
  <c r="E18"/>
  <c r="E17"/>
  <c r="E15"/>
  <c r="E14" l="1"/>
  <c r="E12"/>
  <c r="E13"/>
  <c r="E21" i="10"/>
  <c r="E23" s="1"/>
  <c r="E20"/>
  <c r="E23" i="5" l="1"/>
  <c r="E22"/>
  <c r="E21"/>
  <c r="E20"/>
  <c r="E18"/>
  <c r="E15"/>
  <c r="E14"/>
  <c r="E12"/>
  <c r="E13"/>
  <c r="E25" i="4" l="1"/>
  <c r="E24" l="1"/>
  <c r="E23"/>
  <c r="E22"/>
  <c r="E21"/>
  <c r="E20"/>
  <c r="E19"/>
  <c r="E18"/>
  <c r="E17"/>
  <c r="E15"/>
  <c r="E13"/>
  <c r="E12"/>
  <c r="H31" i="86"/>
  <c r="E25" i="77"/>
  <c r="E21" i="86"/>
  <c r="E20"/>
  <c r="E19"/>
  <c r="E18"/>
  <c r="E26" i="4" l="1"/>
  <c r="E17" i="86"/>
  <c r="E16"/>
  <c r="E15"/>
  <c r="E14"/>
  <c r="E13"/>
  <c r="E12"/>
  <c r="E23" i="1"/>
  <c r="E22"/>
  <c r="E21"/>
  <c r="E20"/>
  <c r="E19"/>
  <c r="E18"/>
  <c r="E17"/>
  <c r="E15"/>
  <c r="E14"/>
  <c r="E13"/>
  <c r="E12"/>
  <c r="E13" i="80"/>
  <c r="E14"/>
  <c r="E15"/>
  <c r="E17"/>
  <c r="E18"/>
  <c r="E20"/>
  <c r="E21"/>
  <c r="E22"/>
  <c r="E23"/>
  <c r="E33" l="1"/>
  <c r="E12"/>
  <c r="G25" i="21" l="1"/>
  <c r="E19" i="75" l="1"/>
  <c r="E18" i="74"/>
  <c r="E20" i="73"/>
  <c r="E13" i="72"/>
  <c r="E12" i="82"/>
  <c r="E25" s="1"/>
  <c r="E13" i="68" l="1"/>
  <c r="E22" s="1"/>
  <c r="E13" i="67"/>
  <c r="E14"/>
  <c r="E15"/>
  <c r="E16"/>
  <c r="E17"/>
  <c r="E18"/>
  <c r="E24" s="1"/>
  <c r="E19"/>
  <c r="E16" i="66"/>
  <c r="E16" i="65"/>
  <c r="E19"/>
  <c r="E16" i="64"/>
  <c r="E19" i="61"/>
  <c r="E13" i="60"/>
  <c r="E15"/>
  <c r="E16"/>
  <c r="E17"/>
  <c r="E18"/>
  <c r="E19"/>
  <c r="E19" i="59"/>
  <c r="E13" i="58" l="1"/>
  <c r="E15"/>
  <c r="E16"/>
  <c r="E17"/>
  <c r="E18"/>
  <c r="E19" i="56"/>
  <c r="E19" i="54"/>
  <c r="E20" i="51"/>
  <c r="E18"/>
  <c r="E15"/>
  <c r="E19" i="47" l="1"/>
  <c r="E19" i="46"/>
  <c r="E19" i="42"/>
  <c r="E19" i="41"/>
  <c r="E19" i="37" l="1"/>
  <c r="E19" i="35" l="1"/>
  <c r="E16" i="21" l="1"/>
  <c r="E19"/>
  <c r="E19" i="20"/>
  <c r="E15" i="76" l="1"/>
  <c r="E16"/>
  <c r="E21" i="78"/>
  <c r="E12"/>
  <c r="E20"/>
  <c r="E19"/>
  <c r="E18"/>
  <c r="E16"/>
  <c r="E15"/>
  <c r="E14"/>
  <c r="E13"/>
  <c r="E19" i="6"/>
  <c r="E12" i="10"/>
  <c r="E13"/>
  <c r="E15"/>
  <c r="E16"/>
  <c r="E17"/>
  <c r="E18"/>
  <c r="E19"/>
  <c r="E16" i="1"/>
  <c r="E13" i="77" l="1"/>
  <c r="E14"/>
  <c r="E15"/>
  <c r="E16"/>
  <c r="E17"/>
  <c r="E18"/>
  <c r="E19"/>
  <c r="E20"/>
  <c r="E12" l="1"/>
  <c r="E19" i="13" l="1"/>
  <c r="E24" i="51" l="1"/>
  <c r="H10" i="11" l="1"/>
  <c r="G10" i="5" l="1"/>
  <c r="E17" i="44" l="1"/>
  <c r="E18"/>
  <c r="E16"/>
  <c r="E15"/>
  <c r="E13"/>
  <c r="E22" l="1"/>
  <c r="F12" i="29"/>
  <c r="E20" i="17" l="1"/>
  <c r="E18"/>
  <c r="E17"/>
  <c r="E16"/>
  <c r="E15"/>
  <c r="E13"/>
  <c r="E19" i="16"/>
  <c r="E18"/>
  <c r="E17"/>
  <c r="E16"/>
  <c r="E15"/>
  <c r="E13"/>
  <c r="E23" l="1"/>
  <c r="E18" i="14"/>
  <c r="E22" s="1"/>
  <c r="E17"/>
  <c r="E16"/>
  <c r="E15"/>
  <c r="E14"/>
  <c r="E13"/>
  <c r="E17" i="12" l="1"/>
  <c r="E20" s="1"/>
  <c r="E16"/>
  <c r="E15"/>
  <c r="E13"/>
  <c r="E19" i="9" l="1"/>
  <c r="E19" i="5" l="1"/>
  <c r="E17"/>
</calcChain>
</file>

<file path=xl/sharedStrings.xml><?xml version="1.0" encoding="utf-8"?>
<sst xmlns="http://schemas.openxmlformats.org/spreadsheetml/2006/main" count="4894" uniqueCount="543">
  <si>
    <t>АКТ №____</t>
  </si>
  <si>
    <t>приемки оказанных услуг (выполненных работ) по содержанию и текущему ремонту общего имущества в МКД</t>
  </si>
  <si>
    <t>г. Ставрополь</t>
  </si>
  <si>
    <t>Наименование вида работы (услуги)</t>
  </si>
  <si>
    <t>Переодичность  выполнения работ</t>
  </si>
  <si>
    <t>Единица измерения</t>
  </si>
  <si>
    <t>Стоимость/сметная стоимость выполненной работы (оказанной услуги) за единицу</t>
  </si>
  <si>
    <t>Цена выполненной работы (оказанной услуги)</t>
  </si>
  <si>
    <t>кв.м.</t>
  </si>
  <si>
    <t>июнь,август</t>
  </si>
  <si>
    <t>Работы, выполняемые в целях надлежащего содержания систем вентиляции и дымоудаления многоквартирных домов</t>
  </si>
  <si>
    <t>апрель,август</t>
  </si>
  <si>
    <t>шт</t>
  </si>
  <si>
    <t>Работы выполняемые в целях надлежащего содержания систем внутридомового газового оборудования в МКД</t>
  </si>
  <si>
    <t>м/п</t>
  </si>
  <si>
    <t xml:space="preserve">Работы по содержанию придомовой территории </t>
  </si>
  <si>
    <t>понедельник, суббота, покос (май,август)</t>
  </si>
  <si>
    <t>постоянно</t>
  </si>
  <si>
    <t xml:space="preserve">Аварийная служба систем водоснабжения и канализации </t>
  </si>
  <si>
    <t>непрерывно в течение года</t>
  </si>
  <si>
    <t>Аварийная служба систем отопления</t>
  </si>
  <si>
    <t xml:space="preserve">Аварийная служба систем электроснабжения </t>
  </si>
  <si>
    <t xml:space="preserve">Услуги по начислению и сбору платежей </t>
  </si>
  <si>
    <t>ИТОГ</t>
  </si>
  <si>
    <t>Настоящий акт составлен в двух экземплярах, имеющих одинаковую юридическую силу, по одному для каждой из Сторон.</t>
  </si>
  <si>
    <t>Подписи сторон:</t>
  </si>
  <si>
    <t>Исполнитель</t>
  </si>
  <si>
    <t>_______________________________________</t>
  </si>
  <si>
    <t>____________</t>
  </si>
  <si>
    <t>(должность, ФИО)</t>
  </si>
  <si>
    <t>(подпись)</t>
  </si>
  <si>
    <t>Заказчик</t>
  </si>
  <si>
    <t>Организационные работы</t>
  </si>
  <si>
    <r>
      <t xml:space="preserve">1. Исполнителем предъявлены к приемке следующие оказанные на основании договора подряда №5н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</si>
  <si>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Готвальда,Добролюбова</t>
    </r>
    <r>
      <rPr>
        <sz val="11"/>
        <rFont val="Times New Roman"/>
        <family val="1"/>
        <charset val="204"/>
      </rPr>
      <t>:</t>
    </r>
  </si>
  <si>
    <t>ИТОГО</t>
  </si>
  <si>
    <t>Дератизация и дезинсекция</t>
  </si>
  <si>
    <t>Работы, выполняемые в целях надлежащего содержания электрооборудования в многоквартирном доме</t>
  </si>
  <si>
    <t>Техническое обслуживание узла учета ИТП</t>
  </si>
  <si>
    <r>
      <t xml:space="preserve">1. Исполнителем предъявлены к приемке следующие оказанные на основании договора подряда №14н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</si>
  <si>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t>ТО систем отопления</t>
  </si>
  <si>
    <r>
      <t xml:space="preserve">1. Исполнителем предъявлены к приемке следующие оказанные на основании договора подряда №17н от 01.04.2015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</si>
  <si>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</si>
  <si>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</si>
  <si>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№15 от 31.12.2013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</si>
  <si>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</si>
  <si>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</si>
  <si>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№16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</si>
  <si>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№27м от 01.10.2015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Добролюбова</t>
    </r>
    <r>
      <rPr>
        <sz val="11"/>
        <rFont val="Times New Roman"/>
        <family val="1"/>
        <charset val="204"/>
      </rPr>
      <t>:</t>
    </r>
  </si>
  <si>
    <t xml:space="preserve">5. Претензий по выполнению условий Договора Стороны друг к другу не имеют. </t>
  </si>
  <si>
    <r>
      <t xml:space="preserve">1. Исполнителем предъявлены к приемке следующие оказанные на основании договора подряда №44н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</si>
  <si>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№46н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</si>
  <si>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</si>
  <si>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№49н от 01.01.2015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</si>
  <si>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№45н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</si>
  <si>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</si>
  <si>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№33н от 01.11.2015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</si>
  <si>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</si>
  <si>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№37н от 30.09.2015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</si>
  <si>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№38н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</si>
  <si>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№39н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</si>
  <si>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№40н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</si>
  <si>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</si>
  <si>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</si>
  <si>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</si>
  <si>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№57н от 09.07.2015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</si>
  <si>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То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</si>
  <si>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№61н от 26.06.2015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</si>
  <si>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№62н от 28.06.2015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10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</si>
  <si>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Аварийная служба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</si>
  <si>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</si>
  <si>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</si>
  <si>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</si>
  <si>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</si>
  <si>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</si>
  <si>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№70н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</si>
  <si>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№71н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</si>
  <si>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</si>
  <si>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</si>
  <si>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t>ТО центрального отопления</t>
  </si>
  <si>
    <r>
      <t xml:space="preserve">1. Исполнителем предъявлены к приемке следующие оказанные на основании договора подряда №91н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</si>
  <si>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</si>
  <si>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</si>
  <si>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</si>
  <si>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№92н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</si>
  <si>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№93н от 24.06.2015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</si>
  <si>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t>Аварийная служба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</si>
  <si>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№94н от 29.07.2015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</si>
  <si>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</si>
  <si>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№97н от 15.07.2015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</si>
  <si>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</si>
  <si>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</si>
  <si>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№109н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</si>
  <si>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</si>
  <si>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</si>
  <si>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</si>
  <si>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№120н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Объездная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</si>
  <si>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</si>
  <si>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№132н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</si>
  <si>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t>ТО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</si>
  <si>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№134н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</si>
  <si>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№135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</si>
  <si>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№137нсп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</si>
  <si>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t>4 Работы (услуги) выполненны (оказаны) полностью, в установленные сроки, с надлежащим качеством.</t>
  </si>
  <si>
    <t>Тех.обслуживание систем центрального отопления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</si>
  <si>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</si>
  <si>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Аварийное обслуживание систем отопления</t>
  </si>
  <si>
    <r>
      <t xml:space="preserve">1. Исполнителем предъявлены к приемке следующие оказанные на основании договора подряда №41н от 01.12.2015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</si>
  <si>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t>Работы по содержаниюмещений входящих в состав общего имущества МКД</t>
  </si>
  <si>
    <t>То центрального отопления</t>
  </si>
  <si>
    <t>Техобслуживание центрального отопления</t>
  </si>
  <si>
    <t>Получил:</t>
  </si>
  <si>
    <t>№ п/п</t>
  </si>
  <si>
    <t>"01" января 2019г</t>
  </si>
  <si>
    <t>Работы по содержанию помещений, входящих в состав общего имущества в МКД</t>
  </si>
  <si>
    <t>по графику</t>
  </si>
  <si>
    <r>
      <t xml:space="preserve">1. Исполнителем предъявлены к приемке следующие оказанные на основании договора подряда №16у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 6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</si>
  <si>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№47/2017нсу от 31.12.2017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</si>
  <si>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№51/2017нсу от 31.12.2017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11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</si>
  <si>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№81н от 01.09.2016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13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</si>
  <si>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Биологическая,2/1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</si>
  <si>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Биологическая,4/1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</si>
  <si>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Готвальда2/6,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</si>
  <si>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</si>
  <si>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</si>
  <si>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</si>
  <si>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</si>
  <si>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</si>
  <si>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</si>
  <si>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</si>
  <si>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</si>
  <si>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</si>
  <si>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</si>
  <si>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16,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</si>
  <si>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Добролюбова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</si>
  <si>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№16нсу/2018 от 01.06.2018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27Б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Дзержинского</t>
    </r>
    <r>
      <rPr>
        <sz val="11"/>
        <rFont val="Times New Roman"/>
        <family val="1"/>
        <charset val="204"/>
      </rPr>
      <t>:</t>
    </r>
  </si>
  <si>
    <t xml:space="preserve">Проведение  осмотров, необходимых для надлежащего содержания конструктивных элементов, входящих в состав общего имущества МКД </t>
  </si>
  <si>
    <t>два раза в год</t>
  </si>
  <si>
    <t>Общие работы, выполняемые для надлежащего содержания систем водоснабжения (холодного,горячего), отопления и водоотведения в многоквартирных домах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</si>
  <si>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</si>
  <si>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3а,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</si>
  <si>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</si>
  <si>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</si>
  <si>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Добролюбова 20,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</si>
  <si>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от 01.11.2018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20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Добролюбова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</si>
  <si>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</si>
  <si>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</si>
  <si>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</si>
  <si>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</si>
  <si>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</si>
  <si>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</si>
  <si>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</si>
  <si>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</si>
  <si>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</si>
  <si>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</si>
  <si>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</si>
  <si>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</si>
  <si>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</si>
  <si>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</si>
  <si>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</si>
  <si>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</si>
  <si>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</si>
  <si>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</si>
  <si>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</si>
  <si>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</si>
  <si>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</si>
  <si>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1,04/0,6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</si>
  <si>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</si>
  <si>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</si>
  <si>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</si>
  <si>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</si>
  <si>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</si>
  <si>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</si>
  <si>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</si>
  <si>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</si>
  <si>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</si>
  <si>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</si>
  <si>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</si>
  <si>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</si>
  <si>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</si>
  <si>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</si>
  <si>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</si>
  <si>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</si>
  <si>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</si>
  <si>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Объездная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</si>
  <si>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</si>
  <si>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</si>
  <si>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</si>
  <si>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42,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</si>
  <si>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0,74/0,89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</si>
  <si>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</si>
  <si>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электрооборудования в мкд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</si>
  <si>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</si>
  <si>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№53/2017нсу от 01.04.2018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</si>
  <si>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</si>
  <si>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№120н от 01.07.2018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</si>
  <si>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</si>
  <si>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0,93/0,52</t>
  </si>
  <si>
    <t>2,48/2,98</t>
  </si>
  <si>
    <r>
      <t xml:space="preserve">1. Исполнителем предъявлены к приемке следующие оказанные на основании договора подряда №55/2017нсу от 26.11.2017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 1/2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</si>
  <si>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</si>
  <si>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№120н от 01.11.2018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</si>
  <si>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t>0,8/0,4</t>
  </si>
  <si>
    <t>руб</t>
  </si>
  <si>
    <t xml:space="preserve">   </t>
  </si>
  <si>
    <t>ТО системы центрального отопления</t>
  </si>
  <si>
    <t>Подготовка дома к сезонной эксплуатации</t>
  </si>
  <si>
    <t>Закрашивание надписей на фасаде дома</t>
  </si>
  <si>
    <t>Общие работы, выполняемые для надлежащего содержания систем водоснабжения (холодного,горячего), отопления и водоотведения в мкд</t>
  </si>
  <si>
    <t>"01" января 2020 г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</si>
  <si>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Дзержинского,27,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</si>
  <si>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№12нсу/2018 от 01.12.2018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Дзержинского</t>
    </r>
    <r>
      <rPr>
        <sz val="11"/>
        <rFont val="Times New Roman"/>
        <family val="1"/>
        <charset val="204"/>
      </rPr>
      <t>:</t>
    </r>
  </si>
  <si>
    <t>0,18/1,23</t>
  </si>
  <si>
    <t>6,55/9,03</t>
  </si>
  <si>
    <t>2,48/3,18</t>
  </si>
  <si>
    <t>0,81/0,98</t>
  </si>
  <si>
    <t>1,47/1,69</t>
  </si>
  <si>
    <t>0,31/0,35</t>
  </si>
  <si>
    <t>0,53/0,67</t>
  </si>
  <si>
    <t>Техническое диагностирование внутридомового газового оборудования</t>
  </si>
  <si>
    <t>один раз в год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</si>
  <si>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Биологическая,10/1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</si>
  <si>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№3нсу/2019 от 01.03.2019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№10/1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</si>
  <si>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t>4,35/5,98</t>
  </si>
  <si>
    <t>0,05/0,07</t>
  </si>
  <si>
    <t>2,22/3,48</t>
  </si>
  <si>
    <t>0,41/0,5</t>
  </si>
  <si>
    <t>2,41/1,45</t>
  </si>
  <si>
    <t>Замена труб на водомере</t>
  </si>
  <si>
    <t xml:space="preserve">Замена труб </t>
  </si>
  <si>
    <t>Сварка свищей в подвале</t>
  </si>
  <si>
    <t>Замена элламп в подъезде</t>
  </si>
  <si>
    <t>Частичный ремонт кровли</t>
  </si>
  <si>
    <t>Замена монометра</t>
  </si>
  <si>
    <t>0,48/0,71</t>
  </si>
  <si>
    <t>0,17/0,51</t>
  </si>
  <si>
    <t>5,4/7,28</t>
  </si>
  <si>
    <t>0,92/0,97</t>
  </si>
  <si>
    <t>0,25/0,3</t>
  </si>
  <si>
    <t>0,45/0,61</t>
  </si>
  <si>
    <t>0,54/1,33</t>
  </si>
  <si>
    <t>Теехдиагностика внутридомоаого газового оборудования</t>
  </si>
  <si>
    <t>0,16/1,98</t>
  </si>
  <si>
    <t>0,55/0,6</t>
  </si>
  <si>
    <t>0,8/0,96</t>
  </si>
  <si>
    <t>2,22/3,18</t>
  </si>
  <si>
    <t>0,74/0,98</t>
  </si>
  <si>
    <t>0,3/0,35</t>
  </si>
  <si>
    <t>0,53/1,1</t>
  </si>
  <si>
    <t xml:space="preserve">3. За период с 01.01.2019 г. по 31.12.2019 г. начисленно 44519,04 руб., полученно денежных средств за данный период 44573,61 руб. </t>
  </si>
  <si>
    <t xml:space="preserve">3. На 01.01.2019 г задолженость составляет 82505,96 руб. За период с 01.01.2018 г. по 31.12.2018 г. начисленно 88436,83 руб., полученно денедных средств за данный период 62773,20 руб. </t>
  </si>
  <si>
    <t>Замена выключателя автоматического</t>
  </si>
  <si>
    <t>0,2/1,11</t>
  </si>
  <si>
    <t>0,65/0,75</t>
  </si>
  <si>
    <t>5,65/8,24</t>
  </si>
  <si>
    <t>0,41/0,61</t>
  </si>
  <si>
    <t>0,53/1,05</t>
  </si>
  <si>
    <t>3.На 01.01.2020 г задолженость составляет 23977,76 руб. За период с 01.01.2019 г. по 31.12.2019 г. начисленно 98609,95 руб., полученно денедных средств за данный период 81287,56 руб.</t>
  </si>
  <si>
    <t>0,19/1,16</t>
  </si>
  <si>
    <t>2,21/0,52</t>
  </si>
  <si>
    <t>постоянно/ два раза в год</t>
  </si>
  <si>
    <t>2,02/0,4</t>
  </si>
  <si>
    <t>0,53/0,61</t>
  </si>
  <si>
    <t>4,56/5,86</t>
  </si>
  <si>
    <t>Замена трубы на водомерной рамке</t>
  </si>
  <si>
    <t>Замена элламп патрона в подъезде</t>
  </si>
  <si>
    <t>3. На 01.01.2020 г задолженость составляет 83455 руб. За период с 01.01.2019 г. по 31.12.2019 г. начисленно 78051,90 руб., полученно денедных средств за данный период 67881,12 руб., текущий ремонт резервный фонд начисленно за данный период 11325 руб, поступило 9042,67 руб.</t>
  </si>
  <si>
    <t>0,2/0,87</t>
  </si>
  <si>
    <t>0,84/1</t>
  </si>
  <si>
    <t>6,91/8,44</t>
  </si>
  <si>
    <t xml:space="preserve">3.За период с 01.01.2019 г. по 31.12.2019 г. начисленно 50662,42 руб., полученно денедных средств за данный период 49426,41 руб. </t>
  </si>
  <si>
    <t>0,2/0,97</t>
  </si>
  <si>
    <t>3,05/4</t>
  </si>
  <si>
    <t>0,16/0,19</t>
  </si>
  <si>
    <t>Заделка выбоин в подъезде</t>
  </si>
  <si>
    <t xml:space="preserve">3.Задолженность на 01.01.2020 года составляет 4166,44 руб. За период с 01.01.2019 г. по 31.12.2019 г. начисленно 67912,40 руб., полученно денедных средств за 2018 год 66080,57 руб. </t>
  </si>
  <si>
    <t>0,19/0,5</t>
  </si>
  <si>
    <t>1,23/1,42</t>
  </si>
  <si>
    <t>5,61/5,86</t>
  </si>
  <si>
    <t>Ремонт ушка замка (люк выхода на крышу)</t>
  </si>
  <si>
    <t xml:space="preserve">3.Задолженность на 01.01.2020 года составляет 6541,12 руб. За период с 01.01.2019 г. по 31.12.2019 г. начисленно 62757,58  руб., полученно денедных средств за 2019 год 66391,99 руб. </t>
  </si>
  <si>
    <t xml:space="preserve">3. Задолженность на 01.01.2020 года составляет 1725,2 руб. За период с 01.01.2019 г. по 31.12.2019 г. начисленно 98265,53 руб., полученно денедных средств за данный период 98394,69 руб. </t>
  </si>
  <si>
    <t>0,16/0,77</t>
  </si>
  <si>
    <t>0,25/0,27</t>
  </si>
  <si>
    <t>6,92/7,93</t>
  </si>
  <si>
    <t xml:space="preserve">3. На 01.01.2020 г задолженость составляет 1044,34 руб. За период с 01.01.2019 г. по 31.12.2019 г. начисленно 78127,97 руб., полученно денедных средств за данный период 78803,49 руб. </t>
  </si>
  <si>
    <t>3. Задолженность на 01.01.2020 года составляет 2937,64 руб. За период с 01.01.2019 г. по 31.12.2019 г. начисленно 83614,44 руб., полученно денедных средств за данный период 82537,12 руб.</t>
  </si>
  <si>
    <t>Заделка пола возле люка канализации в подъезде №2</t>
  </si>
  <si>
    <t>3.  Задолженность на 01.01.2020 года составляет 2936,94 руб. За период с 01.01.2019 г. по 31.12.2019 г. начисленно 75247,32 руб., полученно денедных средств за данный период 73282,48 руб.</t>
  </si>
  <si>
    <t>Замена сгонов со сваркой в подвале</t>
  </si>
  <si>
    <t>Окраска лавок 2 шт</t>
  </si>
  <si>
    <t>Смена ламп накаливания в подъезде</t>
  </si>
  <si>
    <t>Сварка свищей</t>
  </si>
  <si>
    <t>3.  На 01.01.2020 г задолженость составляет 924,66 руб.За период с 01.01.2019 г. по 31.012.2019 г. начисленно 176853,60 руб., полученно денедных средств 178359,66 руб.</t>
  </si>
  <si>
    <t>0,21/1,43</t>
  </si>
  <si>
    <t>7,96/9,76</t>
  </si>
  <si>
    <t>0,22/0,58</t>
  </si>
  <si>
    <t>0,53/1,15</t>
  </si>
  <si>
    <t>Замена трубы в подвале</t>
  </si>
  <si>
    <t>Техдиагностирование внутридомового газового оборудования</t>
  </si>
  <si>
    <t>8,87/11,24</t>
  </si>
  <si>
    <t>0,22/1,44</t>
  </si>
  <si>
    <t xml:space="preserve">3.За период с 01.01.2019 г. по 31.12.2019 г. начисленно 64126,48 руб., полученно денежных средств за данный период 61034,43 руб. </t>
  </si>
  <si>
    <t xml:space="preserve">3. За период с 01.01.2019 г. по 31.12.2019 г. начисленно 67227,44 руб., полученно денежных средств за данный период 61555,83 руб. </t>
  </si>
  <si>
    <t xml:space="preserve">3.   За период с 01.01.2019 г. по 31.08.2019 г. начисленно 60922,86 руб., полученно денежных средств за данный период 62381,06 руб. </t>
  </si>
  <si>
    <t>3. На 01.01.2020 г задолженость составляет 17282,93 руб. За период с 01.01.2019 г. по 31.12.2019 г. начисленно 220730,83 руб., полученно денежных средств за данный период 216367,97 руб.</t>
  </si>
  <si>
    <t>3. На 01.01.2020 г задолженость составляет 23730,66 руб. За период с 01.01.2019 г. по 31.12.2019 г. начисленно 111364,96 руб., полученно денежных средств за данный период 99457,06  руб.</t>
  </si>
  <si>
    <t>3. На 01.01.2020 г задолженость составляет 3511,60 руб. За период с 01.01.2019 г. по 31.12.2019 г. начисленно 244056,28 руб., полученно денежных средств за данный период 242677,39 руб.</t>
  </si>
  <si>
    <t>3. На 01.01.2020 г задолженость составляет 12471,41 руб. За период с 01.01.2019 г. по 31.12.2019 г. начисленно 123684,61  руб., полученно денежных средств за данный период 113161,8 руб.</t>
  </si>
  <si>
    <t xml:space="preserve">3. На 01.01.2020 г задолженость составляет 139171,60 руб. За период с 01.01.2019 г. по 31.12.201 г. начисленно 111556,71 руб., полученно денежных средств за данный период 82035,69 руб. </t>
  </si>
  <si>
    <t>0,16/0,37</t>
  </si>
  <si>
    <t>6,7/8,78</t>
  </si>
  <si>
    <t>Замена кабеля в подъезде</t>
  </si>
  <si>
    <t>Окраска детской площадки</t>
  </si>
  <si>
    <t>Смена труб водоснабжения</t>
  </si>
  <si>
    <t>7,3/4,29</t>
  </si>
  <si>
    <t>0,53/1,61</t>
  </si>
  <si>
    <t>Аварийная служба систем отопления,техобслуж систем отопления</t>
  </si>
  <si>
    <t>Водоснабжение ОДН сверхнормативное</t>
  </si>
  <si>
    <t>Электроснабжение ОДН сверхнормативное</t>
  </si>
  <si>
    <t>Тех обслуживание систем центрального отопления</t>
  </si>
  <si>
    <t>Закрытие -открытие запорной арматуры</t>
  </si>
  <si>
    <t>Замена приборов учета</t>
  </si>
  <si>
    <t>7,84/9,1</t>
  </si>
  <si>
    <t>0,65/0,77</t>
  </si>
  <si>
    <t>7,11/4,29</t>
  </si>
  <si>
    <t>0,23/1,47</t>
  </si>
  <si>
    <t>7,33/7,63</t>
  </si>
  <si>
    <t>6,88/6,53</t>
  </si>
  <si>
    <t>Установка канализационного люка</t>
  </si>
  <si>
    <t>7,42/9,87</t>
  </si>
  <si>
    <t>7,61/4,01</t>
  </si>
  <si>
    <t>0,17/1,09</t>
  </si>
  <si>
    <t>6,4/8,29</t>
  </si>
  <si>
    <t>0,22/1,46</t>
  </si>
  <si>
    <t>0,5/0,59</t>
  </si>
  <si>
    <t>9,61/10,64</t>
  </si>
  <si>
    <t>0,18/0,22</t>
  </si>
  <si>
    <t>1,47/1,63</t>
  </si>
  <si>
    <t>8,35/4,47</t>
  </si>
  <si>
    <t>0,42/1,37</t>
  </si>
  <si>
    <t>0,17/0,18</t>
  </si>
  <si>
    <t>6,1/7,68</t>
  </si>
  <si>
    <t>0,15/0,43</t>
  </si>
  <si>
    <t>Услуги эксковатора</t>
  </si>
  <si>
    <t>5,8/7,56</t>
  </si>
  <si>
    <t>Замена муфт в подвале</t>
  </si>
  <si>
    <t>7,16/8,98</t>
  </si>
  <si>
    <t>0,21/1,33</t>
  </si>
  <si>
    <t>6,25/5,97</t>
  </si>
  <si>
    <t>Замена труб канализации</t>
  </si>
  <si>
    <t>Сварка всищей</t>
  </si>
  <si>
    <t>Замена крана в подвале</t>
  </si>
  <si>
    <t>0,29/0,18</t>
  </si>
  <si>
    <t>5,35/6,63</t>
  </si>
  <si>
    <t>6,67/8,05</t>
  </si>
  <si>
    <t>Техдиагностика внутридомового газового оборудования</t>
  </si>
  <si>
    <t>0,2/0,22</t>
  </si>
  <si>
    <t>4,25/5,44</t>
  </si>
  <si>
    <t>0,4/1,28</t>
  </si>
  <si>
    <t>4,15/4,21</t>
  </si>
  <si>
    <t xml:space="preserve">3.На 01.01.2020 года задолженность составляет 3414,64 руб. За период с 01.01.2019 г. по 31.12.2019 г. начисленно 82797,25 руб., полученно денедных средств за данный период 77371,65 руб. </t>
  </si>
  <si>
    <t>Ремонт кровли шиферной</t>
  </si>
  <si>
    <t>Выдача копии договора холодного водоснабжения</t>
  </si>
  <si>
    <t xml:space="preserve">3.На 01.01.2020 года задолженность составляет 24826,6 руб. За период с 01.01.2019 г. по 31.12.2019 г. начисленно 74895,25 руб., полученно денежных средств за данный период 75612,07 руб., резервный фонд начисленно 13677 руб, получено 20837,95 руб. </t>
  </si>
  <si>
    <t>6,27/8,37</t>
  </si>
  <si>
    <t xml:space="preserve">3.На 01.01.2019 года задолженность составляет 961,25 руб. За период с 01.01.2019 г. по 31.12.2019 г. начисленно 55832,99 руб., полученно денежных средств за данный период 56023,59 руб., резервный фонд начисленно 3486,25 руб, полученно 2744,89 руб. </t>
  </si>
  <si>
    <t>8,4/9,81</t>
  </si>
  <si>
    <t>Заменп светильника в подъезде</t>
  </si>
  <si>
    <t>0,5/1,06</t>
  </si>
  <si>
    <t>5,48/7,57</t>
  </si>
  <si>
    <t>Замена светильников в подъезде</t>
  </si>
  <si>
    <t>Замена кранов</t>
  </si>
  <si>
    <t>Замна трубы в подвале</t>
  </si>
  <si>
    <t>Смена канализационной трубы</t>
  </si>
  <si>
    <t>Замена светильника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</si>
  <si>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3/2,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</si>
  <si>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№69НСУ/2019 от 01.03.2019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3/2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</si>
  <si>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t>Уборка подъезда</t>
  </si>
  <si>
    <t>4,77/4,41</t>
  </si>
  <si>
    <t>1,79/1,21</t>
  </si>
  <si>
    <t>Замена труб в подвале</t>
  </si>
  <si>
    <t>Ремонт бетонной площадки у подъезда</t>
  </si>
  <si>
    <t>5,75/6,31</t>
  </si>
  <si>
    <t>Ремонт пола в подъезде</t>
  </si>
  <si>
    <t>Дезинсекция</t>
  </si>
  <si>
    <t>0,48/1,43</t>
  </si>
  <si>
    <t>0,47/0,3</t>
  </si>
  <si>
    <t>6,22/9,47</t>
  </si>
  <si>
    <t>Ремонт теплообменника</t>
  </si>
  <si>
    <t>Заделка отверстий в стене после прокладки труб</t>
  </si>
  <si>
    <t>0,23/1,05</t>
  </si>
  <si>
    <t>0,73/0,87</t>
  </si>
  <si>
    <t>1,52/1,6</t>
  </si>
  <si>
    <t>4,95/4,45</t>
  </si>
  <si>
    <t>Техническое обслуживание систем отопоения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</si>
  <si>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33,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</si>
  <si>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0,15/0,93</t>
  </si>
  <si>
    <t xml:space="preserve"> </t>
  </si>
  <si>
    <t>Окраска газовой трубы, установка креплений</t>
  </si>
  <si>
    <t>0,16/0,75</t>
  </si>
  <si>
    <t>1,04/0,3</t>
  </si>
  <si>
    <t>0,08/0,09</t>
  </si>
  <si>
    <t>7,93/5,91</t>
  </si>
  <si>
    <t>Замена водомера (КС)</t>
  </si>
  <si>
    <t>Замена крана шарового (КС)</t>
  </si>
  <si>
    <t>Замена труб водоснабжения (КС)</t>
  </si>
  <si>
    <t>Смена водомера (КС)</t>
  </si>
  <si>
    <t>Замена счетчика (КС)</t>
  </si>
  <si>
    <t>Замена трубопроводов выпуска канализации (КС)</t>
  </si>
  <si>
    <t>Изготавление и установка решетчатой двери (КС)</t>
  </si>
  <si>
    <t>Ремонт сушильного помещения (КС)</t>
  </si>
  <si>
    <t>Ремонт подъезда (КС)</t>
  </si>
  <si>
    <t>Прокладка проводов в кабель-каналах (КС)</t>
  </si>
  <si>
    <t>Ремонт отмостки здания (КС)</t>
  </si>
  <si>
    <t>Замена электрического счетчика (КС)</t>
  </si>
  <si>
    <t>Замена насоса (КС)</t>
  </si>
  <si>
    <t>2. Всего за период с 01.01.2019 г по 31.12.2019 г. выполненно работ (оказанно услуг) на общую сумму 231522 (двести тридцать одна тысяча пятьсот двадцать два) рубля 41 коп.</t>
  </si>
  <si>
    <t>2. Всего за период с 01.01.2019 г по 31.12.2019 г. выполненно работ (оказанно услуг) на общую сумму 103093 (сто три тысячи девяносто три) рубля 32 коп.</t>
  </si>
  <si>
    <t>2. Всего за период с 01.01.2019 г по 31.12.2019 г. выполненно работ (оказанно услуг) на общую сумму 228304 (двести двадцать восемь тысяч триста четыри) рубля 87 коп.</t>
  </si>
  <si>
    <t>2. Всего за период с 01.01.2019 г по 31.12.2019 г. выполненно работ (оказанно услуг) на общую сумму 77349 (семьдесят семь тысяч триста сорок девять) рублей 33 коп.</t>
  </si>
  <si>
    <t>2. Всего за период с 01.01.2019 г по 31.12.2019 г. выполненно работ (оказанно услуг) на общую сумму 115347,56 (сто пятнадцать тысяч триста сорок семь) рублей 56 коп.</t>
  </si>
  <si>
    <t>2. Всего за период с 01.01.2019 г по 31.12.2019 г. выполненно работ (оказанно услуг) на общую сумму 102445 (сто две тысячи четыреста сорок пять) рублей 23 коп.</t>
  </si>
  <si>
    <t>2. Всего за период с 01.01.2019 г по 31.12.2019 г. выполненно работ (оказанно услуг) на общую сумму 81173 (восемьдесят одна тысяча сто семьдесят три) рубля 63 коп.</t>
  </si>
  <si>
    <t>2. Всего за период с 01.01.2019 г по 31.12.2019 г. выполненно работ (оказанно услуг) на общую сумму 96226 (девяносто шесть тысяч двести двадцать шесть) рублей 00 коп.</t>
  </si>
  <si>
    <t>2. Всего за период с 01.01.2019 г по 31.12.2019 г. выполненно работ (оказанно услуг) на общую сумму 78540 (семьдесят восемь тысяч пятьсот сорок) рублей 45 коп.</t>
  </si>
  <si>
    <t>2. Всего за период с 01.01.2019 г по 31.12.2019 г. выполненно работ (оказанно услуг) на общую сумму 44306 (сорок четыри тысячи триста шесть) рублей 66 коп.</t>
  </si>
  <si>
    <t>2. Всего за период с 01.01.2019 г по 31.12.2019 г. выполненно работ (оказанно услуг) на общую сумму 59613 (пятьдесят девять тысяч шестьсот тринадцать) рублей 63 коп.</t>
  </si>
  <si>
    <t>2. Всего за период с 01.01.2019 г по 31.12.2019 г. выполненно работ (оказанно услуг) на общую сумму 71839 (семьдесят одна тысяча восемьсот тридцать девять) рублей 04 коп.</t>
  </si>
  <si>
    <t>3. Задолженность на 01.01.2020 года составляет 13838,27 руб. За период с 01.01.2019 г. по 31.12.2019 г. начисленно 59102,64 руб., полученно денежных средств за данный период 52397,31 руб.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</si>
  <si>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Дзержинского,27Б,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</si>
  <si>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2. Всего за период с 01.01.2019 г по 31.12.2019 г. выполненно работ (оказанно услуг) на общую сумму 57571 (пятьдесят семь тысяч пятьсот семьдесят один) рубль 82 коп.</t>
  </si>
  <si>
    <t xml:space="preserve">3. За период с 01.01.2019 г. по 31.12.2019 г. начисленно 62411,18 руб., полученно денежных средств за данный период 63122,92 руб. </t>
  </si>
  <si>
    <t>2. Всего за период с 01.01.2019 г по 31.12.2019 г. выполненно работ (оказанно услуг) на общую сумму 75904 (семьдесят пять тысяч девятьсот четыре) рубля 50 коп.</t>
  </si>
  <si>
    <t>2. Всего за период с 01.01.2019 г по 31.12.2019 г. выполненно работ (оказанно услуг) на общую сумму 61417 (шестьдесят одна тысяча четыреста семнадцать) рублей 19 коп.</t>
  </si>
  <si>
    <t>2. Всего за период с 01.01.2019 г по 31.12.2019 г. выполненно работ (оказанно услуг) на общую сумму 73124 (семьдесят три тысячи сто двадцать четыре) рубля 16 коп.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</si>
  <si>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</si>
  <si>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 xml:space="preserve">3. На 01.01.2019 года задолженность составляет 3947,05 руб. За период с 01.01.2019 г. по 31.12.2019 г. начисленно 76990,82 руб., полученно денежных средств за данный период 79464,87 руб. </t>
  </si>
  <si>
    <t xml:space="preserve">3. На 01.01.2020 года задолженность составляет 12636,71 руб. За период с 01.01.2019 г. по 31.12.2019 г. начисленно 47157,34 руб., полученно денежных средств за данный период 40952,87  руб. </t>
  </si>
  <si>
    <t xml:space="preserve">3.  На 01.01.2020 года задолженность составляет 21800,09 руб. За период с 01.01.2019 г. по 31.12.2019 г. начисленно 30324,18 руб., полученно денежных средств за данный период 31848,12 руб. </t>
  </si>
  <si>
    <t xml:space="preserve">3.  На 01.01.2020 года задолженность составляет 23456,02 руб. За период с 01.01.2019 г. по 31.12.2019 г. начисленно 44742,89 руб., полученно денежных средств за данный период 40025,48 руб. </t>
  </si>
  <si>
    <t>3. За период с 01.01.2019 г. по 31.12.2019 г. начисленно 40076,45 руб., полученно денежных средств за данный период 47126,33 руб.</t>
  </si>
  <si>
    <t>3.На 01.01.2019 года задолженность составляет 9184,68 руб. За период с 01.01.2019 г. по 31.12.2019 г. начисленно 39483,44 руб., полученно денежных средств за данный период 33308,53 руб.</t>
  </si>
  <si>
    <t xml:space="preserve">3.На 01.01.2019 года задолженность составляет 167,16 руб. За период с 01.01.2019 г. по 31.12.2019 г. начисленно 31320,24 руб., полученно денежных средств за данный период 38120,74 руб. </t>
  </si>
  <si>
    <t>3.На 01.01.2020 года задолженность составляет 2198,32 руб. За период с 01.01.2019 г. по 31.12.2019 г. начисленно 44230,10 руб., полученно денежных средств за данный период 44167,51 руб.</t>
  </si>
  <si>
    <t>2. Всего за период с 01.01.2019 г по 31.12.2019 г. выполненно работ (оказанно услуг) на общую сумму 36269 (тридцать шесть тысяч двести шестьдесят девять) рублей 68 коп.</t>
  </si>
  <si>
    <t xml:space="preserve">3.На 01.01.2020 года задолженность составляет 1947,80 руб. За период с 01.01.2019 г. по 31.12.2019 г. начисленно 44013,55 руб., полученно денежных средств за данный период 70901,19 руб. </t>
  </si>
  <si>
    <t>3.На 01.01.2020 года задолженность составляет 14938,33 руб. За период с 01.01.2019 г. по 31.12.2019 г. начисленно 57159,90 руб., полученно денежных средств за данный период 53209,63 руб.</t>
  </si>
  <si>
    <t xml:space="preserve">3. На 01.01.2020 года сумма задолженности составляет 25667,21 руб. За период с 01.01.2019 г. по 31.12.2019 г. начисленно 66364,45 руб., полученно денежных средств за данный период 64522,81 руб. </t>
  </si>
  <si>
    <t xml:space="preserve">3. На 01.01.2020 года сумма задолженности составляет 33548,28 руб. За период с 01.01.2019 г. по 31.12.2019 г. начисленно 59855,23 руб., полученно денежных средств за данный период 50849,65 руб. </t>
  </si>
  <si>
    <t>2. Всего за период с 01.01.2019 г по 31.12.2019 г. выполненно работ (оказанно услуг) на общую сумму 49655 (сорок девять тысяч шестьдесят пять) рублей коп.</t>
  </si>
  <si>
    <t>3.На 01.01.2020 года сумма задолженности составляет 2293,76 руб.За период с 01.01.2019 г. по 31.12.2019 г. начисленно 49641,92 руб., полученно денежных средств за данный период 47778,55 руб., резервный фонд начисленно 2721 руб., полученно 1964,25 руб.</t>
  </si>
  <si>
    <t xml:space="preserve">3.На 01.01.2020 года задолженность составляет 62750,65 руб. За период с 01.01.2019 г. по 31.12.2019 г. начисленно 56877,90 руб., полученно денежных средств за данный период 41178,20 руб. </t>
  </si>
  <si>
    <t>2. Всего за период с 01.01.2019 г по 31.12.2019 г. выполненно работ (оказанно услуг) на общую сумму 64138 (шестьдесят четыри тысячи сто тридцать восемь) рублей 48 коп.</t>
  </si>
  <si>
    <t xml:space="preserve">3.На 01.01.2020 года задолженность составляет 53329,68 руб. За период с 01.01.2019 г. по 31.12.2019 г. начисленно 63626,36 руб., полученно денежных средств за данный период 42589,84руб. </t>
  </si>
  <si>
    <t xml:space="preserve">3.На 01.01.2020 года задолженность составляет 1880,95 руб. За период с 01.01.2019 г. по 31.12.2019 г. начисленно 54169,67 руб., полученно денежных средств за данный период 62561,27 руб. </t>
  </si>
  <si>
    <t>Техдиагностика внутридомоаого газового оборудования</t>
  </si>
  <si>
    <t xml:space="preserve">3.На 01.01.2020 года задолженность составляет 29150,86 руб. За период с 01.01.2019 г. по 31.12.2019 г. начисленно 77391,44 руб., полученно денежных средств за данный период 69198,57 руб. </t>
  </si>
  <si>
    <t>2. Всего за период с 01.01.2019 г по 31.12.2019 г. выполненно работ (оказанно услуг) на общую сумму 66445 (шестьдесят шесть тысяч четыреста сорок пять) рублей 54 коп.</t>
  </si>
  <si>
    <t xml:space="preserve">3.На 01.01.2020 года задолженность составляет 32149,79 руб. За период с 01.01.2019 г. по 31.12.2019 г. начисленно 66870,38 руб., полученно денежных средств за данный период 66091,51 руб. </t>
  </si>
  <si>
    <t xml:space="preserve">3.На 01.01.2019 года задолженность составляет 16987,32 руб. За период с 01.01.2019 г. по 31.12.2019 г. начисленно 69963,84 руб., полученно денежных средств за данный период 67719,99 руб. </t>
  </si>
  <si>
    <t>2. Всего за период с 01.01.2019 г по 31.12.2019 г. выполненно работ (оказанно услуг) на общую сумму 69212 (шестьдесят девять тысяч двести двенадцать) рублей 34 коп.</t>
  </si>
  <si>
    <t xml:space="preserve">3.На 01.01.2020 года задолженность составляет 23227,6 руб. За период с 01.01.2019 г. по 31.12.2019 г. начисленно 82111,60 руб., полученно денежных средств за данный период 101260,94 руб., резервный фонд начисленно 10915 руб., поступило 6024 руб. </t>
  </si>
  <si>
    <t>2. Всего за период с 01.01.2019 г по 31.12.2019 г. выполненно работ (оказанно услуг) на общую сумму 120128 (сто двадцать тысяч сто двадцать восемь) рублей 36 коп.</t>
  </si>
  <si>
    <t xml:space="preserve">3.На 01.01.2020 года задолженность составляет 3409,49 руб. За период с 01.01.2019 г. по 31.12.2019 г. начисленно 57682,39 руб., полученно денежных средств за данный период 55477,51 руб. </t>
  </si>
  <si>
    <t xml:space="preserve">3.На 01.01.2020 года задолженность составляет 24965,68 руб. За период с 01.01.2019 г. по 31.12.2019 г. начисленно 66986,40 руб., полученно денежных средств за данный период 55083,90 руб. </t>
  </si>
  <si>
    <t>3. За период с 01.01.2019 г. по 31.12.2019 г. начисленно 51125,69 руб., полученно денежных средств за данный период 51380,41 руб., резервный фонд начислено 8487 руб., получено 8529,29 руб.</t>
  </si>
  <si>
    <t>2. Всего за период с 01.01.2019 г по 31.12.2019 г. выполненно работ (оказанно услуг) на общую сумму 55380 (пятьдесят пять тысяч триста восемьдесят) рублей 93 коп.</t>
  </si>
  <si>
    <t xml:space="preserve">3. За период с 01.01.2019 г. по 31.12.2019 г. начисленно 51125,69 руб., полученно денежных средств за данный период 58616,32 руб. </t>
  </si>
  <si>
    <t>3.На 01.01.2019 года задолженность составляет 71481,14 руб. За период с 01.01.2019 г. по 31.12.2019 г. начисленно 50713,34 руб., полученно денежных средств за данный период 43634,64 руб.</t>
  </si>
  <si>
    <t>3.На 01.01.2020 года задолженность составляет 8431,87 руб. За период с 01.01.2019 г. по 31.12.2019 г. начисленно 70359,02 руб., полученно денежных средств за данный период 65680,65 руб.</t>
  </si>
  <si>
    <t xml:space="preserve">3.На 01.01.2020 года задолженность составляет 30111,54 руб. За период с 01.01.2019 г. по 31.12.2019 г. начисленно 63097,99 руб., полученно денежных средств за данный период 50476,73 руб. </t>
  </si>
  <si>
    <t xml:space="preserve">3.На 01.01.2020 года задолженность составляет 14399,55 руб. За период с 01.01.2018 г. по 31.12.2019 г. начисленно 63441,17 руб., полученно денежных средств за данный период 52941,38 руб. </t>
  </si>
  <si>
    <t xml:space="preserve">3.На 01.01.2020 года задолженность составляет 60320,77 руб. За период с 01.01.2019 г. по 31.12.2019 г. начисленно 79403,42 руб., полученно денежных средств за данный период 69991,29 руб. </t>
  </si>
  <si>
    <t>2. Всего за период с 01.01.2019 г по 31.12.2019 г. выполненно работ (оказанно услуг) на общую сумму 63266 (шестьдесят три тысячи двести шестьдесят шесть) рублей 55 коп.</t>
  </si>
  <si>
    <t>2. Всего за период с 01.01.2019 г по 31.12.2019 г. выполненно работ (оказанно услуг) на общую сумму 97641 (девяносто семь тысяч шестьсот сорок один) рубль 32 коп.</t>
  </si>
  <si>
    <r>
      <t xml:space="preserve">3.На 01.01.2019 года задолженность составляет </t>
    </r>
    <r>
      <rPr>
        <b/>
        <u/>
        <sz val="11"/>
        <rFont val="Times New Roman"/>
        <family val="1"/>
        <charset val="204"/>
      </rPr>
      <t>1957115 руб.</t>
    </r>
    <r>
      <rPr>
        <sz val="11"/>
        <rFont val="Times New Roman"/>
        <family val="1"/>
        <charset val="204"/>
      </rPr>
      <t xml:space="preserve"> За период с 01.01.2019 г. по 31.12.2019 г. начисленно 89953,25 руб., полученно денежных средств за данный период 80007,60 руб. </t>
    </r>
  </si>
  <si>
    <t xml:space="preserve">3.На 01.01.2020 года задолженность составляет 9086,33 руб. За период с 01.01.2019 г. по 31.12.2019 г. начисленно 92899,87 руб., полученно денежных средств за данный период 80509,50 руб. </t>
  </si>
  <si>
    <t xml:space="preserve">3.На 01.01.2020 года задолженность составляет 14246,94 руб. За период с 01.01.2019 г. по 31.12.2019 г. начисленно 94970,44 руб., полученно денежных средств за данный период 74799,84 руб. </t>
  </si>
  <si>
    <t xml:space="preserve">3.На 01.01.2020 года задолженность составляет 152129,9 руб. За период с 01.01.2019 г. по 31.12.2019 г. начисленно 78901,92 руб., полученно денежных средств за данный период 74799,84 руб., резервный фонд начисленно 9420 руб., поступило 3285 руб. </t>
  </si>
  <si>
    <t xml:space="preserve">3.На 01.01.2020 года задолженность составляет 31848,64 руб. За период с 01.01.2019 г. по 31.12.2019 г. начисленно 77129,94 руб., полученно денежных средств за данный период 66901,66 руб. </t>
  </si>
  <si>
    <t>3.На 01.01.2020 года задолженность составляет 8189,08 руб. За период с 01.01.2019 г. по 31.12.2019 г. начисленно 78240,24 руб., полученно денежных средств за данный период 73806,34 руб.</t>
  </si>
  <si>
    <t>2. Всего за период с 01.01.2019 г по 31.12.2019 г. выполненно работ (оказанно услуг) на общую сумму 410582 (четыреста десять тысяч пятьсот восемьдесят два) рубля 06 коп.</t>
  </si>
  <si>
    <t>3.На 01.01.2020 года задолженность составляет 13925,45 руб. За период с 01.01.2019 г. по 31.12.2019 г. начисленно 193268,06 руб., полученно денежных средств за данный период 186726,56  руб., резервный фонд начисленно 60585,6 руб. получено 58534,92 руб.</t>
  </si>
  <si>
    <t>2. Всего за период с 01.01.2019 г по 31.12.2019 г. выполненно работ (оказанно услуг) на общую сумму 151233 (сто пятьдесят одна тысяча двести тридцать три) рубля 30 коп.</t>
  </si>
  <si>
    <t xml:space="preserve">3.На 01.01.2020 года задолженность составляет 20624,02 руб. За период с 01.01.2019 г. по 31.12.2019 г. начисленно 164776,10 руб., полученно денежных средств за данный период 157237,03 руб. </t>
  </si>
  <si>
    <t>3.За период с 01.01.2019 г. по 31.12.2019 г. начисленно 155201,98 руб., полученно денежных средств за данный период 163349,28 руб., резервный фонд начисленно 19846,80 руб., получено 20837,95 руб.</t>
  </si>
  <si>
    <t>3.На 01.01.2020 года задолженность составляет 209088,90 руб. За период с 01.01.2019 г. по 31.12.2019 г. начисленно 244356,29 руб., полученно денежных средств за данный период 253839,17 руб., резервный фонд начисленно 47064 руб., получено 33498,95 руб.</t>
  </si>
  <si>
    <t>2. Всего за период с 01.01.2019 г по 31.12.2019 г. выполненно работ (оказанно услуг) на общую сумму 234448 (двести тридцать четире тысячи четыреста сорок восемь) рублей 66 коп.</t>
  </si>
  <si>
    <t xml:space="preserve">3.На 01.01.2020 года задолженность составляет 98133,72 руб. За период с 01.01.2019 г. по 31.12.2019 г. начисленно 74407,48 руб., полученно денежных средств за данный период 34370,86 руб. </t>
  </si>
  <si>
    <t>2. Всего за период с 01.01.2019 г по 31.12.2019 г. выполненно работ (оказанно услуг) на общую сумму 73677 (семьдесят три тысячи шестьсот семьдесят семь) рублей 01 коп.</t>
  </si>
  <si>
    <r>
      <t xml:space="preserve">3.На 01.01.2020 года задолженность составляет </t>
    </r>
    <r>
      <rPr>
        <b/>
        <u/>
        <sz val="11"/>
        <rFont val="Times New Roman"/>
        <family val="1"/>
        <charset val="204"/>
      </rPr>
      <t>152531,8</t>
    </r>
    <r>
      <rPr>
        <sz val="11"/>
        <rFont val="Times New Roman"/>
        <family val="1"/>
        <charset val="204"/>
      </rPr>
      <t xml:space="preserve"> руб. За период с 01.01.2019 г. по 31.12.2019 г. начисленно 56583 руб., полученно денежных средств за данный период 34935,9 руб. </t>
    </r>
  </si>
  <si>
    <t>2. Всего за период с 01.01.2019 г по 31.12.2019 г. выполненно работ (оказанно услуг) на общую сумму 59343 (пятьдесят девять тысяч триста сорок три) рубля 39 коп.</t>
  </si>
  <si>
    <t xml:space="preserve">3.На 01.01.2020 года задолженность составляет 143930,20 руб. За период с 01.01.2019 г. по 31.12.2019 г. начисленно 55289,52 руб., полученно денежных средств за данный период 53874,70 руб. </t>
  </si>
  <si>
    <t>2. Всего за период с 01.01.2019 г по 31.12.2019 г. выполненно работ (оказанно услуг) на общую сумму 79189 (семьдесят девять тысяч сто восемьдесят девять) рублей 25 коп.</t>
  </si>
  <si>
    <t xml:space="preserve">3.На 01.01.2020 года задолженность составляет 11043,22 руб. За период с 01.01.2019 г. по 31.12.2019 г. начисленно 66852,22 руб., полученно денежных средств за данный период 80504,61 руб. </t>
  </si>
  <si>
    <t xml:space="preserve">3. За период с 01.01.2019 г. по 31.12.2019 г. начисленно 27803,65 руб., полученно денежных средств за данный период 26536,65 руб. </t>
  </si>
  <si>
    <t>2. Всего за период с 01.01.2019 г по 31.12.2019 г. выполненно работ (оказанно услуг) на общую сумму 108885(сто восемь тысяч восемьсот восемьдесят пять) рублей 27 коп.</t>
  </si>
  <si>
    <t xml:space="preserve">3.На 01.01.2020 года задолженность составляет 22874,69 руб. За период с 01.01.2019 г. по 31.12.2019 г. начисленно 95480,79 руб., полученно денежных средств за данный период 89872,89 руб. </t>
  </si>
  <si>
    <t>2. Всего за период с 01.01.2019 г по 31.12.2019 г. выполненно работ (оказанно услуг) на общую сумму 106195 (сто шесть тысяч сто девяносто пять) рублей 42 коп.</t>
  </si>
  <si>
    <t>2. Всего за период с 01.01.2019 г по 31.12.2019 г. выполненно работ (оказанно услуг) на общую сумму 44605 (сорок четыре тысячи шестьсот пять) рублей 51 коп.</t>
  </si>
  <si>
    <t>2. Всего за период с 01.01.2019 г по 31.12.2019 г. выполненно работ (оказанно услуг) на общую сумму 204 (двести четыре тысячипятьсот восемьдесят семь)  рубль 31 коп.</t>
  </si>
  <si>
    <t xml:space="preserve">3.Задолженность на 01.01.2020 года составляет 4856,16 руб. За период с 01.01.2019 г. по 31.12.2019 г. начисленно 171772,13 руб., полученно денежных средств за 2019 год 183815,10 руб. </t>
  </si>
  <si>
    <t>2. Всего за период с 01.01.2019 г по 31.12.2019 г. выполненно работ (оказанно услуг) на общую сумму 88160 (восемьдесят восемь тысяч сто шестьдесят) рублей 73 коп.</t>
  </si>
  <si>
    <t>2. Всего за период с 01.01.2019 г по 31.12.2019 г. выполненно работ (оказанно услуг) на общую сумму 61687 (шестьдесят одна тысяча шестьсот восемьдесят семь) рублей 27 коп.</t>
  </si>
  <si>
    <t>2. Всего за период с 01.01.2019 г по 31.12.2019 г. выполненно работ (оказанно услуг) на общую сумму 71620 (семьдесят одна тысяча шестьсот двадцать) рублей 84 коп.</t>
  </si>
  <si>
    <t>2. Всего за период с 01.01.2019 г по 31.12.2019 г. выполненно работ (оказанно услуг) на общую сумму 151342 (сто пятьдесят одна тысяча триста сорок два) рубля 25 коп.</t>
  </si>
  <si>
    <t>3.  На 01.01.2020 г задолженость составляет 5659,30 руб. За период с 01.01.2019 г. по 31.12.2019 г. начисленно 65656,58 руб., полученно денежных средств за данный период 63001,94 руб.</t>
  </si>
  <si>
    <t>2. Всего за период с 01.01.2019 г по 31.12.2019 г. выполненно работ (оказанно услуг) на общую сумму 70995 (семьдесят тысяч девятьсот девяносто пять) рублей 22 коп.</t>
  </si>
  <si>
    <t>2. Всего за период с 01.01.2019 г по 31.08.2019 г. выполненно работ (оказанно услуг) на общую сумму 60243 (шестьдесят тысяч двести сорок три) рубля 21 коп.</t>
  </si>
  <si>
    <t>3.  На 01.01.2020 года задолженность составляет 30298,7 руб. За период с 01.01.2019 г. по 31.12.2019 г. начисленно 43999,49 руб., полученно денежных средств за данный период 39578,91 руб.</t>
  </si>
  <si>
    <t>2. Всего за период с 01.01.2019 г по 31.12.2019 г. выполненно работ (оказанно услуг) на общую сумму 47295 (сорок семь тысяч двести девяносто пять) рублей 61 коп.</t>
  </si>
  <si>
    <t>2. Всего за период с 01.01.2019 г по 31.12.2019 г. выполненно работ (оказанно услуг) на общую сумму 50237 (пятьдесят тысяч двести тридцать семь) рублей 56 коп.</t>
  </si>
  <si>
    <t>2. Всего за период с 01.01.2019 г по 31.12.2019 г. выполненно работ (оказанно услуг) на общую сумму 40551 (сорок тысяч пятьсот пятьдесят один) рубль 83 коп.</t>
  </si>
  <si>
    <t>2. Всего за период с 01.01.2019 г по 31.12.2019 г. выполненно работ (оказанно услуг) на общую сумму  44064 (сорок четыре тысячи шестьдесят четыре) рубля 94 коп.</t>
  </si>
  <si>
    <t>2. Всего за период с 01.01.2019 г по 31.12.2019 г. выполненно работ (оказанно услуг) на общую сумму 39937 (тридцать девять тысяч девятьсот тридцать семь) рублей 33 коп.</t>
  </si>
  <si>
    <t>2. Всего за период с 01.01.2019 г по 31.12.2019 г. выполненно работ (оказанно услуг) на общую сумму 43227 (сорок три тысячи двести двадцать семь) рублей 52 коп.</t>
  </si>
  <si>
    <t>2. Всего за период с 01.01.2019 г по 31.12.2019 г. выполненно работ (оказанно услуг) на общую сумму 28440 (двадцать восемь тысяч четыреста сорок) рублей 62 коп.</t>
  </si>
  <si>
    <t>2. Всего за период с 01.01.2019 г по 31.12.2019 г. выполненно работ (оказанно услуг) на общую сумму 40343 (сорок тысяч триста сорок три) рубля 05 коп.</t>
  </si>
  <si>
    <t>2. Всего за период с 01.01.2019 г по 31.12.2019 г. выполненно работ (оказанно услуг) на общую сумму 55356 (пятьдесят пять тысяч триста пятьдесят шесть) рублей 63 коп.</t>
  </si>
  <si>
    <t>2. Всего за период с 01.01.2019 г по 31.12.2019 г. выполненно работ (оказанно услуг) на общую сумму 66340 (шестьдесят шесть тысяч триста сорок) рублей 96 коп.</t>
  </si>
  <si>
    <t>2. Всего за период с 01.01.2019 г по 31.12.2019 г. выполненно работ (оказанно услуг) на общую сумму 53883 (пятьдесят три тысячи восемьсот восемьдесят три) рубля 69 коп.</t>
  </si>
  <si>
    <t>2. Всего за период с 01.01.2019 г по 31.12.2019 г. выполненно работ (оказанно услуг) на общую сумму 57383 (пятьдесят семь тысяч триста восемьдесят три) рубля 16 коп.</t>
  </si>
  <si>
    <t>2. Всего за период с 01.01.2019 г по 31.12.2019 г. выполненно работ (оказанно услуг) на общую сумму 52989 (пятьдесят две тысячи девятьсот восемьдесят девять) рублей 37 коп.</t>
  </si>
  <si>
    <t>2. Всего за период с 01.01.2019 г по 31.12.2019 г. выполненно работ (оказанно услуг) на общую сумму 55930 (пятьдесят пять тысяч девятьсот тридцать) рублей 63 коп.</t>
  </si>
  <si>
    <t>2. Всего за период с 01.01.2019 г по 31.12.2019 г. выполненно работ (оказанно услуг) на общую сумму 74791 (семьдесят четыре тысячи семьсот девяносто один) рубль 38 коп.</t>
  </si>
  <si>
    <t>2. Всего за период с 01.01.2019 г по 31.12.2019 г. выполненно работ (оказанно услуг) на общую сумму 56663 (пятьдесят шесть тысяч шестьсот шестьдесят три) рубля 05 коп.</t>
  </si>
  <si>
    <t>2. Всего за период с 01.01.2019 г по 31.12.2019 г. выполненно работ (оказанно услуг) на общую сумму 64341 (пятьдесят восемь тысяч двести восемьдесят семь) рубля 64 коп.</t>
  </si>
  <si>
    <t>2. Всего за период с 01.01.2019 г по 31.12.2019 г. выполненно работ (оказанно услуг) на общую сумму 53629 (пятьдесят три тысячи шестьсот двадцать девять) рубль 01 коп.</t>
  </si>
  <si>
    <t>2. Всего за период с 01.01.2019 г по 31.12.2019 г. выполненно работ (оказанно услуг) на общую сумму 73077 (семьдесят три тысячи семьдесят семь) рублей 78 коп.</t>
  </si>
  <si>
    <t>2. Всего за период с 01.01.2019 г по 31.12.2019 г. выполненно работ (оказанно услуг) на общую сумму 63996 (шестьдесят три тысячи девятьсот девяносто шесть) рублей 89 коп.</t>
  </si>
  <si>
    <t>2. Всего за период с 01.01.2019 г по 31.12.2019 г. выполненно работ (оказанно услуг) на общую сумму 71365 (семьдесят одна тысяча триста шестьдесят пять) рублей 42 коп.</t>
  </si>
  <si>
    <t>2. Всего за период с 01.01.2019 г по 31.12.2019 г. выполненно работ (оказанно услуг) на общую сумму 81424 (восемьдесят одна тысяча четыреста двадцать четыре) рубля 90 коп.</t>
  </si>
  <si>
    <t>2. Всего за период с 01.01.2019 г по 31.12.2019 г. выполненно работ (оказанно услуг) на общую сумму 89106 (восемьдесят девять тысяч сто шесть) рублей 04 коп.</t>
  </si>
  <si>
    <t>2. Всего за период с 01.01.2019 г по 31.12.2019 г. выполненно работ (оказанно услуг) на общую сумму 91434 (девяносто одна тысяча четыреста тридцать четыре) рубля 14 коп.</t>
  </si>
  <si>
    <t>2. Всего за период с 01.01.2019 г по 31.12.2019 г. выполненно работ (оказанно услуг) на общую сумму 94262 (девяносто четыре тысячи двести шестьдесят два) рубля 85 коп.</t>
  </si>
  <si>
    <t>2. Всего за период с 01.01.2019 г по 31.12.2019 г. выполненно работ (оказанно услуг) на общую сумму 79445 (семьдесят девять тысяч четыреста сорок пять) рублей 80 коп.</t>
  </si>
  <si>
    <t>2. Всего за период с 01.01.2019 г по 31.12.2019 г. выполненно работ (оказанно услуг) на общую сумму 81693 (восемьдесят одна тысяча шестьсот девяносто три) рубля 33 коп.</t>
  </si>
  <si>
    <t>2. Всего за период с 01.01.2019 г по 31.12.2019 г. выполненно работ (оказанно услуг) на общую сумму 75303 (семьдесят пять тысяч триста три) рубля 29 коп.</t>
  </si>
  <si>
    <t>2. Всего за период с 01.01.2019 г по 31.12.2019 г. выполненно работ (оказанно услуг) на общую сумму 218628 (двести восемнадцать тысяч шестьсот двадцать восемь) рублей 15 коп.</t>
  </si>
  <si>
    <t>2. Всего за период с 01.01.2019 г по 31.12.2019 г. выполненно работ (оказанно услуг) на общую сумму 74950 (семьдесят четыре тысячи девятьсот пятьдесят) рублей 57 коп.</t>
  </si>
  <si>
    <t>2. Всего за период с 01.01.2019 г по 31.12.2019 г. выполненно работ (оказанно услуг) на общую сумму 28906 (двадцать восемь тысяч девятьсот шесть) рублей 26 коп.</t>
  </si>
  <si>
    <t>2. Всего за период с 01.01.2019 г по 31.12.2019 г. выполненно работ (оказанно услуг) на общую сумму 50240 (пятьдесят тысяч двести сорок) рублей  81 коп.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</si>
</sst>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27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" fontId="7" fillId="0" borderId="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9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11" fillId="0" borderId="0" xfId="0" applyFont="1" applyBorder="1"/>
    <xf numFmtId="4" fontId="3" fillId="0" borderId="5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7" xfId="0" applyBorder="1"/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/>
    <xf numFmtId="4" fontId="3" fillId="0" borderId="20" xfId="0" applyNumberFormat="1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/>
    <xf numFmtId="4" fontId="6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13" workbookViewId="0">
      <selection activeCell="A29" sqref="A29:E29"/>
    </sheetView>
  </sheetViews>
  <sheetFormatPr defaultRowHeight="15"/>
  <cols>
    <col min="1" max="1" width="29.57031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>
      <c r="A4" s="164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21" t="s">
        <v>120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117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1174.5999999999999</v>
      </c>
    </row>
    <row r="11" spans="1:7" ht="84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37</v>
      </c>
      <c r="B12" s="11" t="s">
        <v>17</v>
      </c>
      <c r="C12" s="11" t="s">
        <v>8</v>
      </c>
      <c r="D12" s="12">
        <v>1.04</v>
      </c>
      <c r="E12" s="13">
        <f t="shared" ref="E12:E20" si="0">D12*$G$10*12</f>
        <v>14659.008000000002</v>
      </c>
    </row>
    <row r="13" spans="1:7">
      <c r="A13" s="14" t="s">
        <v>36</v>
      </c>
      <c r="B13" s="11" t="s">
        <v>115</v>
      </c>
      <c r="C13" s="11" t="s">
        <v>8</v>
      </c>
      <c r="D13" s="12">
        <v>0.06</v>
      </c>
      <c r="E13" s="13">
        <f t="shared" si="0"/>
        <v>845.71199999999976</v>
      </c>
    </row>
    <row r="14" spans="1:7" ht="32.25" customHeight="1">
      <c r="A14" s="14" t="s">
        <v>15</v>
      </c>
      <c r="B14" s="11" t="s">
        <v>115</v>
      </c>
      <c r="C14" s="11" t="s">
        <v>8</v>
      </c>
      <c r="D14" s="11">
        <v>4.04</v>
      </c>
      <c r="E14" s="13">
        <f t="shared" si="0"/>
        <v>56944.608</v>
      </c>
    </row>
    <row r="15" spans="1:7" ht="38.25">
      <c r="A15" s="14" t="s">
        <v>114</v>
      </c>
      <c r="B15" s="11" t="s">
        <v>115</v>
      </c>
      <c r="C15" s="11" t="s">
        <v>8</v>
      </c>
      <c r="D15" s="11">
        <v>2.1800000000000002</v>
      </c>
      <c r="E15" s="13">
        <f t="shared" si="0"/>
        <v>30727.536</v>
      </c>
    </row>
    <row r="16" spans="1:7">
      <c r="A16" s="14" t="s">
        <v>32</v>
      </c>
      <c r="B16" s="11" t="s">
        <v>17</v>
      </c>
      <c r="C16" s="11" t="s">
        <v>8</v>
      </c>
      <c r="D16" s="12">
        <v>2.98</v>
      </c>
      <c r="E16" s="13">
        <f t="shared" si="0"/>
        <v>42003.695999999996</v>
      </c>
    </row>
    <row r="17" spans="1:5" ht="25.5">
      <c r="A17" s="14" t="s">
        <v>18</v>
      </c>
      <c r="B17" s="11" t="s">
        <v>19</v>
      </c>
      <c r="C17" s="11" t="s">
        <v>8</v>
      </c>
      <c r="D17" s="12">
        <v>0.89</v>
      </c>
      <c r="E17" s="13">
        <f t="shared" si="0"/>
        <v>12544.727999999999</v>
      </c>
    </row>
    <row r="18" spans="1:5" ht="25.5">
      <c r="A18" s="14" t="s">
        <v>20</v>
      </c>
      <c r="B18" s="11" t="s">
        <v>19</v>
      </c>
      <c r="C18" s="11" t="s">
        <v>8</v>
      </c>
      <c r="D18" s="15">
        <v>0.5</v>
      </c>
      <c r="E18" s="13">
        <f t="shared" si="0"/>
        <v>7047.5999999999995</v>
      </c>
    </row>
    <row r="19" spans="1:5" ht="25.5">
      <c r="A19" s="14" t="s">
        <v>21</v>
      </c>
      <c r="B19" s="11" t="s">
        <v>19</v>
      </c>
      <c r="C19" s="11" t="s">
        <v>8</v>
      </c>
      <c r="D19" s="11">
        <v>0.32</v>
      </c>
      <c r="E19" s="13">
        <f t="shared" si="0"/>
        <v>4510.4639999999999</v>
      </c>
    </row>
    <row r="20" spans="1:5" ht="25.5">
      <c r="A20" s="14" t="s">
        <v>22</v>
      </c>
      <c r="B20" s="11" t="s">
        <v>17</v>
      </c>
      <c r="C20" s="11" t="s">
        <v>8</v>
      </c>
      <c r="D20" s="11">
        <v>2.15</v>
      </c>
      <c r="E20" s="13">
        <f t="shared" si="0"/>
        <v>30304.68</v>
      </c>
    </row>
    <row r="21" spans="1:5" ht="25.5">
      <c r="A21" s="21" t="s">
        <v>206</v>
      </c>
      <c r="B21" s="22"/>
      <c r="C21" s="22" t="s">
        <v>203</v>
      </c>
      <c r="D21" s="22"/>
      <c r="E21" s="23">
        <v>20610.38</v>
      </c>
    </row>
    <row r="22" spans="1:5">
      <c r="A22" s="21" t="s">
        <v>404</v>
      </c>
      <c r="B22" s="22"/>
      <c r="C22" s="22" t="s">
        <v>203</v>
      </c>
      <c r="D22" s="22"/>
      <c r="E22" s="23">
        <v>4649</v>
      </c>
    </row>
    <row r="23" spans="1:5">
      <c r="A23" s="21" t="s">
        <v>228</v>
      </c>
      <c r="B23" s="22"/>
      <c r="C23" s="22" t="s">
        <v>203</v>
      </c>
      <c r="D23" s="22"/>
      <c r="E23" s="23">
        <v>3026</v>
      </c>
    </row>
    <row r="24" spans="1:5">
      <c r="A24" s="21" t="s">
        <v>229</v>
      </c>
      <c r="B24" s="22"/>
      <c r="C24" s="22" t="s">
        <v>203</v>
      </c>
      <c r="D24" s="22"/>
      <c r="E24" s="23">
        <v>3649</v>
      </c>
    </row>
    <row r="25" spans="1:5" ht="19.5" thickBot="1">
      <c r="A25" s="16" t="s">
        <v>23</v>
      </c>
      <c r="B25" s="17"/>
      <c r="C25" s="17"/>
      <c r="D25" s="18"/>
      <c r="E25" s="19">
        <f>SUM(E12:E24)</f>
        <v>231522.41200000001</v>
      </c>
    </row>
    <row r="26" spans="1:5">
      <c r="A26" s="5"/>
      <c r="B26" s="5"/>
      <c r="C26" s="5"/>
      <c r="D26" s="5"/>
      <c r="E26" s="6"/>
    </row>
    <row r="27" spans="1:5" ht="36.75" customHeight="1">
      <c r="A27" s="221" t="s">
        <v>417</v>
      </c>
      <c r="B27" s="221"/>
      <c r="C27" s="221"/>
      <c r="D27" s="221"/>
      <c r="E27" s="221"/>
    </row>
    <row r="28" spans="1:5">
      <c r="A28" s="140"/>
      <c r="B28" s="140"/>
      <c r="C28" s="140"/>
      <c r="D28" s="140"/>
      <c r="E28" s="141"/>
    </row>
    <row r="29" spans="1:5" ht="33" customHeight="1">
      <c r="A29" s="221" t="s">
        <v>305</v>
      </c>
      <c r="B29" s="221"/>
      <c r="C29" s="221"/>
      <c r="D29" s="221"/>
      <c r="E29" s="221"/>
    </row>
    <row r="30" spans="1:5">
      <c r="A30" s="160"/>
      <c r="B30" s="160"/>
      <c r="C30" s="160"/>
      <c r="D30" s="160"/>
      <c r="E30" s="160"/>
    </row>
    <row r="31" spans="1:5" ht="14.25" customHeight="1">
      <c r="A31" s="221" t="s">
        <v>103</v>
      </c>
      <c r="B31" s="221"/>
      <c r="C31" s="221"/>
      <c r="D31" s="221"/>
      <c r="E31" s="221"/>
    </row>
    <row r="32" spans="1:5">
      <c r="A32" s="5"/>
      <c r="B32" s="5"/>
      <c r="C32" s="5"/>
      <c r="D32" s="5"/>
      <c r="E32" s="6"/>
    </row>
    <row r="33" spans="1:5">
      <c r="A33" s="222" t="s">
        <v>49</v>
      </c>
      <c r="B33" s="222"/>
      <c r="C33" s="222"/>
      <c r="D33" s="222"/>
      <c r="E33" s="222"/>
    </row>
    <row r="34" spans="1:5">
      <c r="A34" s="5"/>
      <c r="B34" s="5"/>
      <c r="C34" s="5"/>
      <c r="D34" s="5"/>
      <c r="E34" s="6"/>
    </row>
    <row r="35" spans="1:5" ht="28.5" customHeight="1">
      <c r="A35" s="221" t="s">
        <v>24</v>
      </c>
      <c r="B35" s="221"/>
      <c r="C35" s="221"/>
      <c r="D35" s="221"/>
      <c r="E35" s="221"/>
    </row>
    <row r="36" spans="1:5">
      <c r="A36" s="5"/>
      <c r="B36" s="5"/>
      <c r="C36" s="5"/>
      <c r="D36" s="5"/>
      <c r="E36" s="6"/>
    </row>
    <row r="37" spans="1:5">
      <c r="A37" s="5"/>
      <c r="B37" s="5"/>
      <c r="C37" s="5"/>
      <c r="D37" s="5"/>
      <c r="E37" s="6"/>
    </row>
    <row r="38" spans="1:5">
      <c r="A38" s="223" t="s">
        <v>25</v>
      </c>
      <c r="B38" s="223"/>
      <c r="C38" s="223"/>
      <c r="D38" s="223"/>
      <c r="E38" s="223"/>
    </row>
    <row r="39" spans="1:5">
      <c r="A39" s="5"/>
      <c r="B39" s="5"/>
      <c r="C39" s="5"/>
      <c r="D39" s="5"/>
      <c r="E39" s="6"/>
    </row>
    <row r="40" spans="1:5">
      <c r="A40" s="5" t="s">
        <v>26</v>
      </c>
      <c r="B40" s="5" t="s">
        <v>27</v>
      </c>
      <c r="C40" s="5"/>
      <c r="D40" s="5"/>
      <c r="E40" s="6" t="s">
        <v>28</v>
      </c>
    </row>
    <row r="41" spans="1:5">
      <c r="A41" s="5"/>
      <c r="B41" s="220" t="s">
        <v>29</v>
      </c>
      <c r="C41" s="220"/>
      <c r="D41" s="220"/>
      <c r="E41" s="6" t="s">
        <v>30</v>
      </c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 t="s">
        <v>31</v>
      </c>
      <c r="B44" s="5" t="s">
        <v>27</v>
      </c>
      <c r="C44" s="5"/>
      <c r="D44" s="5"/>
      <c r="E44" s="6" t="s">
        <v>28</v>
      </c>
    </row>
    <row r="45" spans="1:5">
      <c r="A45" s="5"/>
      <c r="B45" s="220" t="s">
        <v>29</v>
      </c>
      <c r="C45" s="220"/>
      <c r="D45" s="220"/>
      <c r="E45" s="6" t="s">
        <v>30</v>
      </c>
    </row>
    <row r="46" spans="1:5">
      <c r="A46" s="5"/>
      <c r="B46" s="5"/>
      <c r="C46" s="5"/>
      <c r="D46" s="5"/>
      <c r="E46" s="6"/>
    </row>
  </sheetData>
  <mergeCells count="13">
    <mergeCell ref="A27:E27"/>
    <mergeCell ref="A1:E1"/>
    <mergeCell ref="A2:E2"/>
    <mergeCell ref="D4:E4"/>
    <mergeCell ref="A7:E7"/>
    <mergeCell ref="A9:E9"/>
    <mergeCell ref="B45:D45"/>
    <mergeCell ref="A29:E29"/>
    <mergeCell ref="A31:E31"/>
    <mergeCell ref="A33:E33"/>
    <mergeCell ref="A35:E35"/>
    <mergeCell ref="A38:E38"/>
    <mergeCell ref="B41:D41"/>
  </mergeCells>
  <pageMargins left="0.24" right="0.21" top="0.24" bottom="0.22" header="0.16" footer="0.1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16" sqref="F16:H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9"/>
    </row>
    <row r="2" spans="1:8" ht="36" customHeight="1">
      <c r="A2" s="225" t="s">
        <v>1</v>
      </c>
      <c r="B2" s="225"/>
      <c r="C2" s="225"/>
      <c r="D2" s="225"/>
      <c r="E2" s="225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128</v>
      </c>
      <c r="B7" s="221"/>
      <c r="C7" s="221"/>
      <c r="D7" s="221"/>
      <c r="E7" s="221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43</v>
      </c>
      <c r="B9" s="221"/>
      <c r="C9" s="221"/>
      <c r="D9" s="221"/>
      <c r="E9" s="221"/>
      <c r="F9" s="26"/>
    </row>
    <row r="10" spans="1:8" ht="15.75" thickBot="1">
      <c r="A10" s="5"/>
      <c r="B10" s="5"/>
      <c r="C10" s="5"/>
      <c r="D10" s="5"/>
      <c r="E10" s="6"/>
      <c r="F10" s="6"/>
      <c r="H10">
        <v>230.2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0.4*4*H10</f>
        <v>368.32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D13*H10*4</f>
        <v>478.81599999999997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 t="s">
        <v>267</v>
      </c>
      <c r="E14" s="13">
        <f>0.2*8*H10+0.87*4*H10</f>
        <v>1169.4159999999999</v>
      </c>
      <c r="F14" s="40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0.55*8*H10+0.6*4*H10</f>
        <v>1565.36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268</v>
      </c>
      <c r="E16" s="13">
        <v>2773.13</v>
      </c>
      <c r="F16" s="40"/>
      <c r="G16" s="117"/>
    </row>
    <row r="17" spans="1:8" ht="25.5">
      <c r="A17" s="14" t="s">
        <v>15</v>
      </c>
      <c r="B17" s="11" t="s">
        <v>115</v>
      </c>
      <c r="C17" s="11" t="s">
        <v>8</v>
      </c>
      <c r="D17" s="11" t="s">
        <v>269</v>
      </c>
      <c r="E17" s="13">
        <f>6.91*8*H10+8.44*4*H10</f>
        <v>20497.007999999998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 t="s">
        <v>245</v>
      </c>
      <c r="E18" s="13">
        <f>2.22*8*H10+3.18*4*H10</f>
        <v>7016.4960000000001</v>
      </c>
      <c r="F18" s="40"/>
    </row>
    <row r="19" spans="1:8">
      <c r="A19" s="14" t="s">
        <v>36</v>
      </c>
      <c r="B19" s="11" t="s">
        <v>115</v>
      </c>
      <c r="C19" s="11" t="s">
        <v>8</v>
      </c>
      <c r="D19" s="12">
        <v>0.28999999999999998</v>
      </c>
      <c r="E19" s="13">
        <f>D19*12*H10</f>
        <v>801.09599999999989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0.74*8*H10+0.98*4*H10</f>
        <v>2265.1679999999997</v>
      </c>
      <c r="F20" s="40"/>
    </row>
    <row r="21" spans="1:8" ht="25.5">
      <c r="A21" s="14" t="s">
        <v>104</v>
      </c>
      <c r="B21" s="11" t="s">
        <v>19</v>
      </c>
      <c r="C21" s="11" t="s">
        <v>8</v>
      </c>
      <c r="D21" s="12" t="s">
        <v>216</v>
      </c>
      <c r="E21" s="13">
        <v>4508.16</v>
      </c>
      <c r="F21" s="40"/>
      <c r="G21" s="117"/>
    </row>
    <row r="22" spans="1:8" ht="25.5">
      <c r="A22" s="14" t="s">
        <v>21</v>
      </c>
      <c r="B22" s="11" t="s">
        <v>19</v>
      </c>
      <c r="C22" s="11" t="s">
        <v>8</v>
      </c>
      <c r="D22" s="11" t="s">
        <v>247</v>
      </c>
      <c r="E22" s="144">
        <f>0.3*8*H10+0.35*4*H10</f>
        <v>874.75999999999988</v>
      </c>
      <c r="F22" s="40"/>
      <c r="G22" s="117"/>
    </row>
    <row r="23" spans="1:8" ht="25.5">
      <c r="A23" s="14" t="s">
        <v>22</v>
      </c>
      <c r="B23" s="11" t="s">
        <v>17</v>
      </c>
      <c r="C23" s="11" t="s">
        <v>8</v>
      </c>
      <c r="D23" s="11" t="s">
        <v>248</v>
      </c>
      <c r="E23" s="144">
        <f>0.53*8*H10+1.1*4*H10</f>
        <v>1988.9279999999999</v>
      </c>
      <c r="F23" s="40"/>
      <c r="G23" s="117"/>
    </row>
    <row r="24" spans="1:8" ht="19.5" thickBot="1">
      <c r="A24" s="16" t="s">
        <v>35</v>
      </c>
      <c r="B24" s="17"/>
      <c r="C24" s="17"/>
      <c r="D24" s="18"/>
      <c r="E24" s="116">
        <f>SUM(E12:E23)</f>
        <v>44306.657999999989</v>
      </c>
      <c r="F24" s="41"/>
      <c r="G24" s="117"/>
    </row>
    <row r="25" spans="1:8">
      <c r="A25" s="5"/>
      <c r="B25" s="5"/>
      <c r="C25" s="5"/>
      <c r="D25" s="5"/>
      <c r="E25" s="6"/>
      <c r="F25" s="6"/>
    </row>
    <row r="26" spans="1:8" ht="32.25" customHeight="1">
      <c r="A26" s="221" t="s">
        <v>426</v>
      </c>
      <c r="B26" s="221"/>
      <c r="C26" s="221"/>
      <c r="D26" s="221"/>
      <c r="E26" s="221"/>
      <c r="F26" s="26"/>
      <c r="H26" s="117"/>
    </row>
    <row r="27" spans="1:8">
      <c r="A27" s="5"/>
      <c r="B27" s="5"/>
      <c r="C27" s="5"/>
      <c r="D27" s="5"/>
      <c r="E27" s="6"/>
      <c r="F27" s="6"/>
    </row>
    <row r="28" spans="1:8" ht="33" customHeight="1">
      <c r="A28" s="221" t="s">
        <v>270</v>
      </c>
      <c r="B28" s="221"/>
      <c r="C28" s="221"/>
      <c r="D28" s="221"/>
      <c r="E28" s="221"/>
      <c r="F28" s="26"/>
    </row>
    <row r="29" spans="1:8">
      <c r="A29" s="119"/>
      <c r="B29" s="119"/>
      <c r="C29" s="119"/>
      <c r="D29" s="119"/>
      <c r="E29" s="119"/>
      <c r="F29" s="6"/>
    </row>
    <row r="30" spans="1:8" ht="33" customHeight="1">
      <c r="A30" s="221" t="s">
        <v>103</v>
      </c>
      <c r="B30" s="221"/>
      <c r="C30" s="221"/>
      <c r="D30" s="221"/>
      <c r="E30" s="221"/>
      <c r="F30" s="27"/>
    </row>
    <row r="31" spans="1:8">
      <c r="A31" s="5"/>
      <c r="B31" s="5"/>
      <c r="C31" s="5"/>
      <c r="D31" s="5"/>
      <c r="E31" s="6"/>
      <c r="F31" s="6"/>
    </row>
    <row r="32" spans="1:8">
      <c r="A32" s="222" t="s">
        <v>49</v>
      </c>
      <c r="B32" s="222"/>
      <c r="C32" s="222"/>
      <c r="D32" s="222"/>
      <c r="E32" s="222"/>
      <c r="F32" s="26"/>
    </row>
    <row r="33" spans="1:6">
      <c r="A33" s="5"/>
      <c r="B33" s="5"/>
      <c r="C33" s="5"/>
      <c r="D33" s="5"/>
      <c r="E33" s="6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28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3">
    <mergeCell ref="B43:D43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6:E36"/>
    <mergeCell ref="B39:D39"/>
    <mergeCell ref="A34:E34"/>
  </mergeCells>
  <pageMargins left="0.24" right="0.21" top="0.4" bottom="0.32" header="0.3" footer="0.2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topLeftCell="A9" workbookViewId="0">
      <selection activeCell="F17" sqref="F17:G1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61"/>
    </row>
    <row r="2" spans="1:8" ht="36" customHeight="1">
      <c r="A2" s="225" t="s">
        <v>1</v>
      </c>
      <c r="B2" s="225"/>
      <c r="C2" s="225"/>
      <c r="D2" s="225"/>
      <c r="E2" s="225"/>
      <c r="F2" s="162"/>
    </row>
    <row r="3" spans="1:8">
      <c r="A3" s="1"/>
      <c r="B3" s="1"/>
      <c r="C3" s="1"/>
      <c r="D3" s="1"/>
      <c r="E3" s="2"/>
      <c r="F3" s="2"/>
    </row>
    <row r="4" spans="1:8" ht="15" customHeight="1">
      <c r="A4" s="164" t="s">
        <v>2</v>
      </c>
      <c r="B4" s="1"/>
      <c r="C4" s="1"/>
      <c r="D4" s="226" t="s">
        <v>209</v>
      </c>
      <c r="E4" s="226"/>
      <c r="F4" s="163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129</v>
      </c>
      <c r="B7" s="221"/>
      <c r="C7" s="221"/>
      <c r="D7" s="221"/>
      <c r="E7" s="221"/>
      <c r="F7" s="164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118</v>
      </c>
      <c r="B9" s="221"/>
      <c r="C9" s="221"/>
      <c r="D9" s="221"/>
      <c r="E9" s="221"/>
      <c r="F9" s="164"/>
    </row>
    <row r="10" spans="1:8" ht="15.75" thickBot="1">
      <c r="A10" s="5"/>
      <c r="B10" s="5"/>
      <c r="C10" s="5"/>
      <c r="D10" s="5"/>
      <c r="E10" s="6"/>
      <c r="F10" s="6"/>
      <c r="H10">
        <v>1010.9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0.49</v>
      </c>
      <c r="E12" s="13">
        <f>D12*$H$10*12</f>
        <v>5944.0920000000006</v>
      </c>
      <c r="F12" s="40"/>
    </row>
    <row r="13" spans="1:8" ht="51">
      <c r="A13" s="14" t="s">
        <v>37</v>
      </c>
      <c r="B13" s="11" t="s">
        <v>17</v>
      </c>
      <c r="C13" s="11" t="s">
        <v>8</v>
      </c>
      <c r="D13" s="12">
        <v>1.04</v>
      </c>
      <c r="E13" s="13">
        <f t="shared" ref="E13:E21" si="0">D13*$H$10*12</f>
        <v>12616.031999999999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0.1</v>
      </c>
      <c r="E14" s="13">
        <f t="shared" si="0"/>
        <v>1213.08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4.08</v>
      </c>
      <c r="E15" s="13">
        <f t="shared" si="0"/>
        <v>49493.663999999997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2.98</v>
      </c>
      <c r="E16" s="13">
        <f t="shared" si="0"/>
        <v>36149.784</v>
      </c>
      <c r="F16" s="40"/>
    </row>
    <row r="17" spans="1:8">
      <c r="A17" s="14" t="s">
        <v>36</v>
      </c>
      <c r="B17" s="11" t="s">
        <v>115</v>
      </c>
      <c r="C17" s="11" t="s">
        <v>8</v>
      </c>
      <c r="D17" s="12">
        <v>0.14000000000000001</v>
      </c>
      <c r="E17" s="13">
        <v>2344.7199999999998</v>
      </c>
      <c r="F17" s="40"/>
      <c r="G17" s="117"/>
    </row>
    <row r="18" spans="1:8" ht="25.5">
      <c r="A18" s="14" t="s">
        <v>18</v>
      </c>
      <c r="B18" s="11" t="s">
        <v>19</v>
      </c>
      <c r="C18" s="11" t="s">
        <v>8</v>
      </c>
      <c r="D18" s="12">
        <v>0.89</v>
      </c>
      <c r="E18" s="13">
        <f t="shared" si="0"/>
        <v>10796.412</v>
      </c>
      <c r="F18" s="40"/>
    </row>
    <row r="19" spans="1:8" ht="25.5">
      <c r="A19" s="14" t="s">
        <v>106</v>
      </c>
      <c r="B19" s="11" t="s">
        <v>19</v>
      </c>
      <c r="C19" s="11" t="s">
        <v>8</v>
      </c>
      <c r="D19" s="12">
        <v>0.5</v>
      </c>
      <c r="E19" s="13">
        <f t="shared" si="0"/>
        <v>6065.4</v>
      </c>
      <c r="F19" s="40"/>
    </row>
    <row r="20" spans="1:8" ht="25.5">
      <c r="A20" s="14" t="s">
        <v>21</v>
      </c>
      <c r="B20" s="11" t="s">
        <v>19</v>
      </c>
      <c r="C20" s="11" t="s">
        <v>8</v>
      </c>
      <c r="D20" s="11">
        <v>0.32</v>
      </c>
      <c r="E20" s="13">
        <f t="shared" si="0"/>
        <v>3881.8559999999998</v>
      </c>
      <c r="F20" s="40"/>
    </row>
    <row r="21" spans="1:8" ht="25.5">
      <c r="A21" s="14" t="s">
        <v>22</v>
      </c>
      <c r="B21" s="11" t="s">
        <v>17</v>
      </c>
      <c r="C21" s="11" t="s">
        <v>8</v>
      </c>
      <c r="D21" s="11">
        <v>2.12</v>
      </c>
      <c r="E21" s="13">
        <f t="shared" si="0"/>
        <v>25717.296000000002</v>
      </c>
      <c r="F21" s="40"/>
    </row>
    <row r="22" spans="1:8" ht="25.5">
      <c r="A22" s="21" t="s">
        <v>206</v>
      </c>
      <c r="B22" s="22"/>
      <c r="C22" s="22" t="s">
        <v>203</v>
      </c>
      <c r="D22" s="22"/>
      <c r="E22" s="23">
        <v>18583.8</v>
      </c>
      <c r="F22" s="40"/>
    </row>
    <row r="23" spans="1:8">
      <c r="A23" s="21" t="s">
        <v>232</v>
      </c>
      <c r="B23" s="22"/>
      <c r="C23" s="22" t="s">
        <v>203</v>
      </c>
      <c r="D23" s="22"/>
      <c r="E23" s="23">
        <v>6179</v>
      </c>
      <c r="F23" s="40"/>
    </row>
    <row r="24" spans="1:8" ht="25.5">
      <c r="A24" s="21" t="s">
        <v>320</v>
      </c>
      <c r="B24" s="22"/>
      <c r="C24" s="22" t="s">
        <v>203</v>
      </c>
      <c r="D24" s="22"/>
      <c r="E24" s="23">
        <v>19797.36</v>
      </c>
      <c r="F24" s="40"/>
    </row>
    <row r="25" spans="1:8">
      <c r="A25" s="21" t="s">
        <v>404</v>
      </c>
      <c r="B25" s="22"/>
      <c r="C25" s="22" t="s">
        <v>203</v>
      </c>
      <c r="D25" s="22"/>
      <c r="E25" s="23">
        <v>5805</v>
      </c>
      <c r="F25" s="40"/>
    </row>
    <row r="26" spans="1:8" ht="19.5" thickBot="1">
      <c r="A26" s="16" t="s">
        <v>35</v>
      </c>
      <c r="B26" s="17"/>
      <c r="C26" s="17"/>
      <c r="D26" s="18"/>
      <c r="E26" s="116">
        <f>SUM(E12:E25)</f>
        <v>204587.49599999998</v>
      </c>
      <c r="F26" s="41"/>
    </row>
    <row r="27" spans="1:8">
      <c r="A27" s="5"/>
      <c r="B27" s="5"/>
      <c r="C27" s="5"/>
      <c r="D27" s="5"/>
      <c r="E27" s="6"/>
      <c r="F27" s="6"/>
    </row>
    <row r="28" spans="1:8" ht="30" customHeight="1">
      <c r="A28" s="221" t="s">
        <v>501</v>
      </c>
      <c r="B28" s="221"/>
      <c r="C28" s="221"/>
      <c r="D28" s="221"/>
      <c r="E28" s="221"/>
      <c r="F28" s="164"/>
      <c r="H28" s="117"/>
    </row>
    <row r="29" spans="1:8">
      <c r="A29" s="5"/>
      <c r="B29" s="5"/>
      <c r="C29" s="5"/>
      <c r="D29" s="5"/>
      <c r="E29" s="6"/>
      <c r="F29" s="6"/>
    </row>
    <row r="30" spans="1:8" ht="32.25" customHeight="1">
      <c r="A30" s="221" t="s">
        <v>502</v>
      </c>
      <c r="B30" s="221"/>
      <c r="C30" s="221"/>
      <c r="D30" s="221"/>
      <c r="E30" s="221"/>
      <c r="F30" s="164"/>
    </row>
    <row r="31" spans="1:8">
      <c r="A31" s="160"/>
      <c r="B31" s="160"/>
      <c r="C31" s="160"/>
      <c r="D31" s="160"/>
      <c r="E31" s="160"/>
      <c r="F31" s="6"/>
    </row>
    <row r="32" spans="1:8" ht="30.75" customHeight="1">
      <c r="A32" s="221" t="s">
        <v>103</v>
      </c>
      <c r="B32" s="221"/>
      <c r="C32" s="221"/>
      <c r="D32" s="221"/>
      <c r="E32" s="221"/>
      <c r="F32" s="165"/>
    </row>
    <row r="33" spans="1:6">
      <c r="A33" s="5"/>
      <c r="B33" s="5"/>
      <c r="C33" s="5"/>
      <c r="D33" s="5"/>
      <c r="E33" s="6"/>
      <c r="F33" s="6"/>
    </row>
    <row r="34" spans="1:6">
      <c r="A34" s="222" t="s">
        <v>49</v>
      </c>
      <c r="B34" s="222"/>
      <c r="C34" s="222"/>
      <c r="D34" s="222"/>
      <c r="E34" s="222"/>
      <c r="F34" s="164"/>
    </row>
    <row r="35" spans="1:6">
      <c r="A35" s="5"/>
      <c r="B35" s="5"/>
      <c r="C35" s="5"/>
      <c r="D35" s="5"/>
      <c r="E35" s="6"/>
      <c r="F35" s="6"/>
    </row>
    <row r="36" spans="1:6" ht="28.5" customHeight="1">
      <c r="A36" s="221" t="s">
        <v>24</v>
      </c>
      <c r="B36" s="221"/>
      <c r="C36" s="221"/>
      <c r="D36" s="221"/>
      <c r="E36" s="221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166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3">
    <mergeCell ref="A28:E28"/>
    <mergeCell ref="A1:E1"/>
    <mergeCell ref="A2:E2"/>
    <mergeCell ref="D4:E4"/>
    <mergeCell ref="A7:E7"/>
    <mergeCell ref="A9:E9"/>
    <mergeCell ref="B45:D45"/>
    <mergeCell ref="A30:E30"/>
    <mergeCell ref="A32:E32"/>
    <mergeCell ref="A34:E34"/>
    <mergeCell ref="A36:E36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topLeftCell="A9" workbookViewId="0">
      <selection activeCell="F11" sqref="F11:G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24"/>
    </row>
    <row r="2" spans="1:8" ht="36" customHeight="1">
      <c r="A2" s="225" t="s">
        <v>1</v>
      </c>
      <c r="B2" s="225"/>
      <c r="C2" s="225"/>
      <c r="D2" s="225"/>
      <c r="E2" s="225"/>
      <c r="F2" s="125"/>
    </row>
    <row r="3" spans="1:8">
      <c r="A3" s="1"/>
      <c r="B3" s="1"/>
      <c r="C3" s="1"/>
      <c r="D3" s="1"/>
      <c r="E3" s="2"/>
      <c r="F3" s="2"/>
    </row>
    <row r="4" spans="1:8" ht="15" customHeight="1">
      <c r="A4" s="121" t="s">
        <v>2</v>
      </c>
      <c r="B4" s="1"/>
      <c r="C4" s="1"/>
      <c r="D4" s="226" t="s">
        <v>209</v>
      </c>
      <c r="E4" s="226"/>
      <c r="F4" s="12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130</v>
      </c>
      <c r="B7" s="221"/>
      <c r="C7" s="221"/>
      <c r="D7" s="221"/>
      <c r="E7" s="221"/>
      <c r="F7" s="12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119</v>
      </c>
      <c r="B9" s="221"/>
      <c r="C9" s="221"/>
      <c r="D9" s="221"/>
      <c r="E9" s="221"/>
      <c r="F9" s="121"/>
    </row>
    <row r="10" spans="1:8" ht="15.75" thickBot="1">
      <c r="A10" s="5"/>
      <c r="B10" s="5"/>
      <c r="C10" s="5"/>
      <c r="D10" s="5"/>
      <c r="E10" s="6"/>
      <c r="F10" s="6"/>
      <c r="H10">
        <v>414.1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38.25">
      <c r="A12" s="14" t="s">
        <v>190</v>
      </c>
      <c r="B12" s="11" t="s">
        <v>115</v>
      </c>
      <c r="C12" s="11" t="s">
        <v>12</v>
      </c>
      <c r="D12" s="12" t="s">
        <v>271</v>
      </c>
      <c r="E12" s="13">
        <v>2100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 t="s">
        <v>166</v>
      </c>
      <c r="E13" s="13">
        <f>1.04*$H$10*10+0.6*2*H10</f>
        <v>4803.5600000000004</v>
      </c>
      <c r="F13" s="40"/>
    </row>
    <row r="14" spans="1:8" ht="63.75">
      <c r="A14" s="14" t="s">
        <v>105</v>
      </c>
      <c r="B14" s="11" t="s">
        <v>17</v>
      </c>
      <c r="C14" s="11" t="s">
        <v>8</v>
      </c>
      <c r="D14" s="12" t="s">
        <v>197</v>
      </c>
      <c r="E14" s="13">
        <f>0.93*$H$10*10+0.52*2*H10</f>
        <v>4281.7940000000008</v>
      </c>
      <c r="F14" s="40"/>
    </row>
    <row r="15" spans="1:8" ht="25.5">
      <c r="A15" s="134" t="s">
        <v>38</v>
      </c>
      <c r="B15" s="11" t="s">
        <v>115</v>
      </c>
      <c r="C15" s="11" t="s">
        <v>8</v>
      </c>
      <c r="D15" s="12">
        <v>0.41</v>
      </c>
      <c r="E15" s="13">
        <f t="shared" ref="E15:E16" si="0">D15*$H$10*12</f>
        <v>2037.3720000000001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0.74</v>
      </c>
      <c r="E16" s="13">
        <f t="shared" si="0"/>
        <v>3677.2080000000005</v>
      </c>
      <c r="F16" s="40"/>
    </row>
    <row r="17" spans="1:8" ht="25.5">
      <c r="A17" s="14" t="s">
        <v>15</v>
      </c>
      <c r="B17" s="11" t="s">
        <v>115</v>
      </c>
      <c r="C17" s="11" t="s">
        <v>8</v>
      </c>
      <c r="D17" s="11" t="s">
        <v>272</v>
      </c>
      <c r="E17" s="13">
        <f>3.05*$H$10*10+4*2*H10</f>
        <v>15942.850000000002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 t="s">
        <v>245</v>
      </c>
      <c r="E18" s="13">
        <f>2.22*$H$10*10+3.18*2*H10</f>
        <v>11826.696</v>
      </c>
      <c r="F18" s="40"/>
    </row>
    <row r="19" spans="1:8">
      <c r="A19" s="14" t="s">
        <v>36</v>
      </c>
      <c r="B19" s="11" t="s">
        <v>115</v>
      </c>
      <c r="C19" s="11" t="s">
        <v>8</v>
      </c>
      <c r="D19" s="12" t="s">
        <v>273</v>
      </c>
      <c r="E19" s="13">
        <f>0.16*$H$10*10+0.19*2*H10</f>
        <v>819.91799999999989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0.81*$H$10*10+0.98*2*H10</f>
        <v>4165.8460000000005</v>
      </c>
      <c r="F20" s="40"/>
    </row>
    <row r="21" spans="1:8" ht="25.5">
      <c r="A21" s="14" t="s">
        <v>106</v>
      </c>
      <c r="B21" s="11" t="s">
        <v>19</v>
      </c>
      <c r="C21" s="11" t="s">
        <v>8</v>
      </c>
      <c r="D21" s="12" t="s">
        <v>239</v>
      </c>
      <c r="E21" s="13">
        <f>0.45*$H$10*10+0.61*2*H10</f>
        <v>2368.652</v>
      </c>
      <c r="F21" s="40"/>
    </row>
    <row r="22" spans="1:8" ht="25.5">
      <c r="A22" s="14" t="s">
        <v>21</v>
      </c>
      <c r="B22" s="11" t="s">
        <v>19</v>
      </c>
      <c r="C22" s="11" t="s">
        <v>8</v>
      </c>
      <c r="D22" s="11" t="s">
        <v>217</v>
      </c>
      <c r="E22" s="13">
        <f>0.31*10*H10+0.35*2*H10</f>
        <v>1573.58</v>
      </c>
      <c r="F22" s="40"/>
      <c r="G22" s="117"/>
    </row>
    <row r="23" spans="1:8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f>0.53*10*H10+1.1*2*H10</f>
        <v>3105.7500000000005</v>
      </c>
      <c r="F23" s="40"/>
      <c r="G23" s="117"/>
    </row>
    <row r="24" spans="1:8" ht="25.5">
      <c r="A24" s="21" t="s">
        <v>241</v>
      </c>
      <c r="B24" s="22"/>
      <c r="C24" s="11" t="s">
        <v>8</v>
      </c>
      <c r="D24" s="22">
        <v>1.61</v>
      </c>
      <c r="E24" s="23">
        <f>D24*2*H10</f>
        <v>1333.402</v>
      </c>
      <c r="F24" s="40"/>
      <c r="G24" s="117"/>
    </row>
    <row r="25" spans="1:8">
      <c r="A25" s="21" t="s">
        <v>274</v>
      </c>
      <c r="B25" s="22"/>
      <c r="C25" s="22" t="s">
        <v>203</v>
      </c>
      <c r="D25" s="22"/>
      <c r="E25" s="23">
        <v>1577</v>
      </c>
      <c r="F25" s="40"/>
      <c r="G25" s="117"/>
    </row>
    <row r="26" spans="1:8" ht="19.5" thickBot="1">
      <c r="A26" s="16" t="s">
        <v>35</v>
      </c>
      <c r="B26" s="17"/>
      <c r="C26" s="17"/>
      <c r="D26" s="18"/>
      <c r="E26" s="116">
        <f>SUM(E12:E25)</f>
        <v>59613.627999999997</v>
      </c>
      <c r="F26" s="41"/>
      <c r="G26" s="117"/>
    </row>
    <row r="27" spans="1:8">
      <c r="A27" s="5"/>
      <c r="B27" s="5"/>
      <c r="C27" s="5"/>
      <c r="D27" s="5"/>
      <c r="E27" s="6"/>
      <c r="F27" s="6"/>
    </row>
    <row r="28" spans="1:8" ht="30" customHeight="1">
      <c r="A28" s="221" t="s">
        <v>427</v>
      </c>
      <c r="B28" s="221"/>
      <c r="C28" s="221"/>
      <c r="D28" s="221"/>
      <c r="E28" s="221"/>
      <c r="F28" s="121"/>
      <c r="H28" s="117"/>
    </row>
    <row r="29" spans="1:8">
      <c r="A29" s="5"/>
      <c r="B29" s="5"/>
      <c r="C29" s="5"/>
      <c r="D29" s="5"/>
      <c r="E29" s="6"/>
      <c r="F29" s="6"/>
    </row>
    <row r="30" spans="1:8" ht="32.25" customHeight="1">
      <c r="A30" s="221" t="s">
        <v>275</v>
      </c>
      <c r="B30" s="221"/>
      <c r="C30" s="221"/>
      <c r="D30" s="221"/>
      <c r="E30" s="221"/>
      <c r="F30" s="121"/>
    </row>
    <row r="31" spans="1:8">
      <c r="A31" s="120"/>
      <c r="B31" s="120"/>
      <c r="C31" s="120"/>
      <c r="D31" s="120"/>
      <c r="E31" s="120"/>
      <c r="F31" s="6"/>
    </row>
    <row r="32" spans="1:8" ht="30.75" customHeight="1">
      <c r="A32" s="221" t="s">
        <v>103</v>
      </c>
      <c r="B32" s="221"/>
      <c r="C32" s="221"/>
      <c r="D32" s="221"/>
      <c r="E32" s="221"/>
      <c r="F32" s="122"/>
    </row>
    <row r="33" spans="1:6">
      <c r="A33" s="5"/>
      <c r="B33" s="5"/>
      <c r="C33" s="5"/>
      <c r="D33" s="5"/>
      <c r="E33" s="6"/>
      <c r="F33" s="6"/>
    </row>
    <row r="34" spans="1:6">
      <c r="A34" s="222" t="s">
        <v>49</v>
      </c>
      <c r="B34" s="222"/>
      <c r="C34" s="222"/>
      <c r="D34" s="222"/>
      <c r="E34" s="222"/>
      <c r="F34" s="121"/>
    </row>
    <row r="35" spans="1:6">
      <c r="A35" s="5"/>
      <c r="B35" s="5"/>
      <c r="C35" s="5"/>
      <c r="D35" s="5"/>
      <c r="E35" s="6"/>
      <c r="F35" s="6"/>
    </row>
    <row r="36" spans="1:6" ht="28.5" customHeight="1">
      <c r="A36" s="221" t="s">
        <v>24</v>
      </c>
      <c r="B36" s="221"/>
      <c r="C36" s="221"/>
      <c r="D36" s="221"/>
      <c r="E36" s="221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123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3">
    <mergeCell ref="A28:E28"/>
    <mergeCell ref="A1:E1"/>
    <mergeCell ref="A2:E2"/>
    <mergeCell ref="D4:E4"/>
    <mergeCell ref="A7:E7"/>
    <mergeCell ref="A9:E9"/>
    <mergeCell ref="B45:D45"/>
    <mergeCell ref="A30:E30"/>
    <mergeCell ref="A32:E32"/>
    <mergeCell ref="A34:E34"/>
    <mergeCell ref="A36:E36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topLeftCell="A9" workbookViewId="0">
      <selection activeCell="F14" sqref="F14:H1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9"/>
    </row>
    <row r="2" spans="1:8" ht="36" customHeight="1">
      <c r="A2" s="225" t="s">
        <v>1</v>
      </c>
      <c r="B2" s="225"/>
      <c r="C2" s="225"/>
      <c r="D2" s="225"/>
      <c r="E2" s="225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131</v>
      </c>
      <c r="B7" s="221"/>
      <c r="C7" s="221"/>
      <c r="D7" s="221"/>
      <c r="E7" s="221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45</v>
      </c>
      <c r="B9" s="221"/>
      <c r="C9" s="221"/>
      <c r="D9" s="221"/>
      <c r="E9" s="221"/>
      <c r="F9" s="26"/>
    </row>
    <row r="10" spans="1:8" ht="15.75" thickBot="1">
      <c r="A10" s="5"/>
      <c r="B10" s="5"/>
      <c r="C10" s="5"/>
      <c r="D10" s="5"/>
      <c r="E10" s="6"/>
      <c r="F10" s="6"/>
      <c r="H10">
        <f>57.4+336.8</f>
        <v>394.2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D12*4*H10</f>
        <v>630.72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D13*4*H10</f>
        <v>819.93600000000004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 t="s">
        <v>276</v>
      </c>
      <c r="E14" s="13">
        <v>1500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0.55*8*H10+0.6*4*H10</f>
        <v>2680.56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277</v>
      </c>
      <c r="E16" s="13">
        <f>1.23*10*H10+1.42*4*H10</f>
        <v>7087.7160000000003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278</v>
      </c>
      <c r="E17" s="13">
        <f>5.61*8*H10+5.86*4*H10</f>
        <v>26931.743999999999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2.48*8*H10+3.18*H10*4</f>
        <v>12835.152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0.24</v>
      </c>
      <c r="E19" s="13">
        <f>D19*8*H10</f>
        <v>756.86399999999992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0.74*8*H10+0.98*4*H10</f>
        <v>3878.9279999999999</v>
      </c>
      <c r="F20" s="40"/>
    </row>
    <row r="21" spans="1:7" ht="25.5">
      <c r="A21" s="14" t="s">
        <v>20</v>
      </c>
      <c r="B21" s="11" t="s">
        <v>19</v>
      </c>
      <c r="C21" s="11" t="s">
        <v>8</v>
      </c>
      <c r="D21" s="12" t="s">
        <v>255</v>
      </c>
      <c r="E21" s="13">
        <f>0.41*8*H10+0.61*4*H10</f>
        <v>2254.8239999999996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0.3*8*H10+0.35*4*H10</f>
        <v>1497.96</v>
      </c>
      <c r="F22" s="40"/>
    </row>
    <row r="23" spans="1:7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f>0.53*8*H10+1.1*4*H10</f>
        <v>3405.8879999999999</v>
      </c>
      <c r="F23" s="40"/>
      <c r="G23" s="117"/>
    </row>
    <row r="24" spans="1:7" ht="25.5">
      <c r="A24" s="21" t="s">
        <v>206</v>
      </c>
      <c r="B24" s="22"/>
      <c r="C24" s="22" t="s">
        <v>203</v>
      </c>
      <c r="D24" s="22"/>
      <c r="E24" s="23">
        <v>7246.75</v>
      </c>
      <c r="F24" s="40"/>
      <c r="G24" s="117"/>
    </row>
    <row r="25" spans="1:7" ht="25.5">
      <c r="A25" s="21" t="s">
        <v>279</v>
      </c>
      <c r="B25" s="22"/>
      <c r="C25" s="22" t="s">
        <v>203</v>
      </c>
      <c r="D25" s="22"/>
      <c r="E25" s="23">
        <v>312</v>
      </c>
      <c r="F25" s="40"/>
      <c r="G25" s="117"/>
    </row>
    <row r="26" spans="1:7" ht="19.5" thickBot="1">
      <c r="A26" s="16" t="s">
        <v>35</v>
      </c>
      <c r="B26" s="17"/>
      <c r="C26" s="17"/>
      <c r="D26" s="18"/>
      <c r="E26" s="116">
        <f>SUM(E12:E25)</f>
        <v>71839.042000000001</v>
      </c>
      <c r="F26" s="41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221" t="s">
        <v>428</v>
      </c>
      <c r="B28" s="221"/>
      <c r="C28" s="221"/>
      <c r="D28" s="221"/>
      <c r="E28" s="221"/>
      <c r="F28" s="26"/>
    </row>
    <row r="29" spans="1:7">
      <c r="A29" s="140"/>
      <c r="B29" s="140"/>
      <c r="C29" s="140"/>
      <c r="D29" s="140"/>
      <c r="E29" s="141"/>
      <c r="F29" s="6"/>
    </row>
    <row r="30" spans="1:7" ht="30" customHeight="1">
      <c r="A30" s="221" t="s">
        <v>280</v>
      </c>
      <c r="B30" s="221"/>
      <c r="C30" s="221"/>
      <c r="D30" s="221"/>
      <c r="E30" s="221"/>
      <c r="F30" s="26"/>
    </row>
    <row r="31" spans="1:7">
      <c r="A31" s="127"/>
      <c r="B31" s="127"/>
      <c r="C31" s="127"/>
      <c r="D31" s="127"/>
      <c r="E31" s="127"/>
      <c r="F31" s="6"/>
    </row>
    <row r="32" spans="1:7" ht="29.25" customHeight="1">
      <c r="A32" s="221" t="s">
        <v>103</v>
      </c>
      <c r="B32" s="221"/>
      <c r="C32" s="221"/>
      <c r="D32" s="221"/>
      <c r="E32" s="221"/>
      <c r="F32" s="27"/>
    </row>
    <row r="33" spans="1:6">
      <c r="A33" s="5"/>
      <c r="B33" s="5"/>
      <c r="C33" s="5"/>
      <c r="D33" s="5"/>
      <c r="E33" s="6"/>
      <c r="F33" s="6"/>
    </row>
    <row r="34" spans="1:6" ht="24" customHeight="1">
      <c r="A34" s="222" t="s">
        <v>49</v>
      </c>
      <c r="B34" s="222"/>
      <c r="C34" s="222"/>
      <c r="D34" s="222"/>
      <c r="E34" s="222"/>
      <c r="F34" s="26"/>
    </row>
    <row r="35" spans="1:6">
      <c r="A35" s="5"/>
      <c r="B35" s="5"/>
      <c r="C35" s="5"/>
      <c r="D35" s="5"/>
      <c r="E35" s="6"/>
      <c r="F35" s="6"/>
    </row>
    <row r="36" spans="1:6">
      <c r="A36" s="221" t="s">
        <v>24</v>
      </c>
      <c r="B36" s="221"/>
      <c r="C36" s="221"/>
      <c r="D36" s="221"/>
      <c r="E36" s="221"/>
      <c r="F36" s="6"/>
    </row>
    <row r="37" spans="1:6">
      <c r="A37" s="128"/>
      <c r="B37" s="128"/>
      <c r="C37" s="128"/>
      <c r="D37" s="128"/>
      <c r="E37" s="128"/>
      <c r="F37" s="6"/>
    </row>
    <row r="38" spans="1:6">
      <c r="A38" s="223" t="s">
        <v>25</v>
      </c>
      <c r="B38" s="223"/>
      <c r="C38" s="223"/>
      <c r="D38" s="223"/>
      <c r="E38" s="223"/>
      <c r="F38" s="28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3">
    <mergeCell ref="B45:D45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8:E38"/>
    <mergeCell ref="B41:D41"/>
    <mergeCell ref="A36:E36"/>
  </mergeCells>
  <pageMargins left="0.24" right="0.21" top="0.4" bottom="0.32" header="0.3" footer="0.2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topLeftCell="A10" workbookViewId="0">
      <selection activeCell="F12" sqref="F12:G20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9"/>
    </row>
    <row r="2" spans="1:8" ht="36" customHeight="1">
      <c r="A2" s="225" t="s">
        <v>1</v>
      </c>
      <c r="B2" s="225"/>
      <c r="C2" s="225"/>
      <c r="D2" s="225"/>
      <c r="E2" s="225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132</v>
      </c>
      <c r="B7" s="221"/>
      <c r="C7" s="221"/>
      <c r="D7" s="221"/>
      <c r="E7" s="221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46</v>
      </c>
      <c r="B9" s="221"/>
      <c r="C9" s="221"/>
      <c r="D9" s="221"/>
      <c r="E9" s="221"/>
      <c r="F9" s="26"/>
    </row>
    <row r="10" spans="1:8" ht="15.75" thickBot="1">
      <c r="A10" s="5"/>
      <c r="B10" s="5"/>
      <c r="C10" s="5"/>
      <c r="D10" s="5"/>
      <c r="E10" s="6"/>
      <c r="F10" s="6"/>
      <c r="H10">
        <v>562.6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38.25">
      <c r="A12" s="14" t="s">
        <v>190</v>
      </c>
      <c r="B12" s="11" t="s">
        <v>115</v>
      </c>
      <c r="C12" s="11" t="s">
        <v>12</v>
      </c>
      <c r="D12" s="12">
        <v>0.43</v>
      </c>
      <c r="E12" s="13">
        <v>3000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>
        <v>0.55000000000000004</v>
      </c>
      <c r="E13" s="13">
        <f>D13*12*H10</f>
        <v>3713.1600000000003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0.52</v>
      </c>
      <c r="E14" s="13">
        <v>4166.25</v>
      </c>
      <c r="F14" s="40"/>
      <c r="G14" s="117"/>
    </row>
    <row r="15" spans="1:8" ht="25.5">
      <c r="A15" s="14" t="s">
        <v>15</v>
      </c>
      <c r="B15" s="11" t="s">
        <v>115</v>
      </c>
      <c r="C15" s="11" t="s">
        <v>8</v>
      </c>
      <c r="D15" s="11">
        <v>8.6199999999999992</v>
      </c>
      <c r="E15" s="13">
        <f>D15*12*H10</f>
        <v>58195.344000000005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16742.975999999999</v>
      </c>
      <c r="F16" s="40"/>
    </row>
    <row r="17" spans="1:10" ht="25.5">
      <c r="A17" s="14" t="s">
        <v>18</v>
      </c>
      <c r="B17" s="11" t="s">
        <v>19</v>
      </c>
      <c r="C17" s="11" t="s">
        <v>8</v>
      </c>
      <c r="D17" s="12">
        <v>0.98</v>
      </c>
      <c r="E17" s="13">
        <f>D17*12*H10</f>
        <v>6616.1760000000004</v>
      </c>
      <c r="F17" s="40"/>
    </row>
    <row r="18" spans="1:10" ht="25.5">
      <c r="A18" s="14" t="s">
        <v>21</v>
      </c>
      <c r="B18" s="11" t="s">
        <v>19</v>
      </c>
      <c r="C18" s="11" t="s">
        <v>8</v>
      </c>
      <c r="D18" s="11">
        <v>0.35</v>
      </c>
      <c r="E18" s="13">
        <f>D18*12*H10</f>
        <v>2362.9199999999996</v>
      </c>
      <c r="F18" s="40"/>
      <c r="G18" s="117"/>
    </row>
    <row r="19" spans="1:10" ht="25.5">
      <c r="A19" s="14" t="s">
        <v>22</v>
      </c>
      <c r="B19" s="11" t="s">
        <v>17</v>
      </c>
      <c r="C19" s="11" t="s">
        <v>8</v>
      </c>
      <c r="D19" s="11">
        <v>0.53</v>
      </c>
      <c r="E19" s="13">
        <v>11398.59</v>
      </c>
      <c r="F19" s="40"/>
      <c r="G19" s="117"/>
      <c r="J19" s="117"/>
    </row>
    <row r="20" spans="1:10" ht="19.5" thickBot="1">
      <c r="A20" s="16" t="s">
        <v>35</v>
      </c>
      <c r="B20" s="17"/>
      <c r="C20" s="17"/>
      <c r="D20" s="18"/>
      <c r="E20" s="32">
        <f>SUM(E12:E19)</f>
        <v>106195.416</v>
      </c>
      <c r="F20" s="41"/>
      <c r="G20" s="117"/>
    </row>
    <row r="21" spans="1:10">
      <c r="A21" s="5"/>
      <c r="B21" s="5"/>
      <c r="C21" s="5"/>
      <c r="D21" s="5"/>
      <c r="E21" s="6"/>
      <c r="F21" s="6"/>
    </row>
    <row r="22" spans="1:10" ht="36.75" customHeight="1">
      <c r="A22" s="221" t="s">
        <v>499</v>
      </c>
      <c r="B22" s="221"/>
      <c r="C22" s="221"/>
      <c r="D22" s="221"/>
      <c r="E22" s="221"/>
      <c r="F22" s="26"/>
    </row>
    <row r="23" spans="1:10">
      <c r="A23" s="5"/>
      <c r="B23" s="5"/>
      <c r="C23" s="5"/>
      <c r="D23" s="5"/>
      <c r="E23" s="6"/>
      <c r="F23" s="6"/>
    </row>
    <row r="24" spans="1:10" ht="32.25" customHeight="1">
      <c r="A24" s="221" t="s">
        <v>281</v>
      </c>
      <c r="B24" s="221"/>
      <c r="C24" s="221"/>
      <c r="D24" s="221"/>
      <c r="E24" s="221"/>
      <c r="F24" s="26"/>
    </row>
    <row r="25" spans="1:10">
      <c r="A25" s="127"/>
      <c r="B25" s="127"/>
      <c r="C25" s="127"/>
      <c r="D25" s="127"/>
      <c r="E25" s="127"/>
      <c r="F25" s="6"/>
    </row>
    <row r="26" spans="1:10" ht="29.25" customHeight="1">
      <c r="A26" s="221" t="s">
        <v>103</v>
      </c>
      <c r="B26" s="221"/>
      <c r="C26" s="221"/>
      <c r="D26" s="221"/>
      <c r="E26" s="221"/>
      <c r="F26" s="129"/>
    </row>
    <row r="27" spans="1:10">
      <c r="A27" s="5"/>
      <c r="B27" s="5"/>
      <c r="C27" s="5"/>
      <c r="D27" s="5"/>
      <c r="E27" s="6"/>
      <c r="F27" s="6"/>
    </row>
    <row r="28" spans="1:10" ht="19.5" customHeight="1">
      <c r="A28" s="222" t="s">
        <v>49</v>
      </c>
      <c r="B28" s="222"/>
      <c r="C28" s="222"/>
      <c r="D28" s="222"/>
      <c r="E28" s="222"/>
      <c r="F28" s="26"/>
    </row>
    <row r="29" spans="1:10">
      <c r="A29" s="5"/>
      <c r="B29" s="5"/>
      <c r="C29" s="5"/>
      <c r="D29" s="5"/>
      <c r="E29" s="6"/>
      <c r="F29" s="6"/>
    </row>
    <row r="30" spans="1:10">
      <c r="A30" s="221" t="s">
        <v>24</v>
      </c>
      <c r="B30" s="221"/>
      <c r="C30" s="221"/>
      <c r="D30" s="221"/>
      <c r="E30" s="221"/>
      <c r="F30" s="6"/>
    </row>
    <row r="31" spans="1:10">
      <c r="A31" s="223" t="s">
        <v>25</v>
      </c>
      <c r="B31" s="223"/>
      <c r="C31" s="223"/>
      <c r="D31" s="223"/>
      <c r="E31" s="223"/>
      <c r="F31" s="28"/>
    </row>
    <row r="32" spans="1:10">
      <c r="A32" s="5"/>
      <c r="B32" s="5"/>
      <c r="C32" s="5"/>
      <c r="D32" s="5"/>
      <c r="E32" s="6"/>
      <c r="F32" s="6"/>
    </row>
    <row r="33" spans="1:6">
      <c r="A33" s="5" t="s">
        <v>26</v>
      </c>
      <c r="B33" s="5" t="s">
        <v>27</v>
      </c>
      <c r="C33" s="5"/>
      <c r="D33" s="5"/>
      <c r="E33" s="6" t="s">
        <v>28</v>
      </c>
      <c r="F33" s="6"/>
    </row>
    <row r="34" spans="1:6">
      <c r="A34" s="5"/>
      <c r="B34" s="220" t="s">
        <v>29</v>
      </c>
      <c r="C34" s="220"/>
      <c r="D34" s="220"/>
      <c r="E34" s="6" t="s">
        <v>30</v>
      </c>
      <c r="F34" s="6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5" t="s">
        <v>31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</sheetData>
  <mergeCells count="13">
    <mergeCell ref="B38:D38"/>
    <mergeCell ref="A1:E1"/>
    <mergeCell ref="A2:E2"/>
    <mergeCell ref="D4:E4"/>
    <mergeCell ref="A7:E7"/>
    <mergeCell ref="A9:E9"/>
    <mergeCell ref="A22:E22"/>
    <mergeCell ref="A24:E24"/>
    <mergeCell ref="A26:E26"/>
    <mergeCell ref="A28:E28"/>
    <mergeCell ref="A31:E31"/>
    <mergeCell ref="B34:D34"/>
    <mergeCell ref="A30:E30"/>
  </mergeCells>
  <pageMargins left="0.24" right="0.21" top="0.4" bottom="0.32" header="0.3" footer="0.2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topLeftCell="A9" workbookViewId="0">
      <selection activeCell="K14" sqref="K14"/>
    </sheetView>
  </sheetViews>
  <sheetFormatPr defaultRowHeight="15"/>
  <cols>
    <col min="1" max="1" width="30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9"/>
    </row>
    <row r="2" spans="1:9" ht="36" customHeight="1">
      <c r="A2" s="225" t="s">
        <v>1</v>
      </c>
      <c r="B2" s="225"/>
      <c r="C2" s="225"/>
      <c r="D2" s="225"/>
      <c r="E2" s="225"/>
      <c r="F2" s="30"/>
    </row>
    <row r="3" spans="1:9">
      <c r="A3" s="1"/>
      <c r="B3" s="1"/>
      <c r="C3" s="1"/>
      <c r="D3" s="1"/>
      <c r="E3" s="2"/>
      <c r="F3" s="2"/>
    </row>
    <row r="4" spans="1:9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9">
      <c r="A5" s="1"/>
      <c r="B5" s="1"/>
      <c r="C5" s="1"/>
      <c r="D5" s="1"/>
      <c r="E5" s="2"/>
      <c r="F5" s="2"/>
    </row>
    <row r="6" spans="1:9">
      <c r="A6" s="1"/>
      <c r="B6" s="1"/>
      <c r="C6" s="1"/>
      <c r="D6" s="1"/>
      <c r="E6" s="2"/>
      <c r="F6" s="2"/>
    </row>
    <row r="7" spans="1:9" ht="112.5" customHeight="1">
      <c r="A7" s="221" t="s">
        <v>133</v>
      </c>
      <c r="B7" s="221"/>
      <c r="C7" s="221"/>
      <c r="D7" s="221"/>
      <c r="E7" s="221"/>
      <c r="F7" s="26"/>
    </row>
    <row r="8" spans="1:9">
      <c r="A8" s="3"/>
      <c r="B8" s="3"/>
      <c r="C8" s="3"/>
      <c r="D8" s="3"/>
      <c r="E8" s="4"/>
      <c r="F8" s="4"/>
    </row>
    <row r="9" spans="1:9" ht="45.75" customHeight="1">
      <c r="A9" s="221" t="s">
        <v>47</v>
      </c>
      <c r="B9" s="221"/>
      <c r="C9" s="221"/>
      <c r="D9" s="221"/>
      <c r="E9" s="221"/>
      <c r="F9" s="26"/>
    </row>
    <row r="10" spans="1:9" ht="15.75" thickBot="1">
      <c r="A10" s="5"/>
      <c r="B10" s="5"/>
      <c r="C10" s="5"/>
      <c r="D10" s="5"/>
      <c r="E10" s="6"/>
      <c r="F10" s="6"/>
      <c r="H10">
        <v>388.8</v>
      </c>
    </row>
    <row r="11" spans="1:9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9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D12*4*H10</f>
        <v>622.08000000000004</v>
      </c>
      <c r="F12" s="39"/>
    </row>
    <row r="13" spans="1:9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D13*4*H10</f>
        <v>808.70400000000006</v>
      </c>
      <c r="F13" s="39"/>
    </row>
    <row r="14" spans="1:9" ht="51">
      <c r="A14" s="14" t="s">
        <v>10</v>
      </c>
      <c r="B14" s="11" t="s">
        <v>115</v>
      </c>
      <c r="C14" s="11" t="s">
        <v>12</v>
      </c>
      <c r="D14" s="12" t="s">
        <v>282</v>
      </c>
      <c r="E14" s="13">
        <v>2250</v>
      </c>
      <c r="F14" s="40"/>
      <c r="I14" s="117"/>
    </row>
    <row r="15" spans="1:9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2643.84</v>
      </c>
      <c r="F15" s="40"/>
    </row>
    <row r="16" spans="1:9" ht="51">
      <c r="A16" s="14" t="s">
        <v>13</v>
      </c>
      <c r="B16" s="11" t="s">
        <v>115</v>
      </c>
      <c r="C16" s="11" t="s">
        <v>14</v>
      </c>
      <c r="D16" s="12" t="s">
        <v>283</v>
      </c>
      <c r="E16" s="13">
        <f>0.25*8*H10+0.27*4*H10</f>
        <v>1197.5040000000001</v>
      </c>
      <c r="F16" s="40"/>
      <c r="I16" s="117"/>
    </row>
    <row r="17" spans="1:9" ht="25.5">
      <c r="A17" s="14" t="s">
        <v>15</v>
      </c>
      <c r="B17" s="11" t="s">
        <v>115</v>
      </c>
      <c r="C17" s="11" t="s">
        <v>8</v>
      </c>
      <c r="D17" s="11" t="s">
        <v>284</v>
      </c>
      <c r="E17" s="13">
        <f>6.92*$H$10*8+7.93*4*H10</f>
        <v>33856.703999999998</v>
      </c>
      <c r="F17" s="40"/>
    </row>
    <row r="18" spans="1:9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2.48*$H$10*8+3.18*4*H10</f>
        <v>12659.328000000001</v>
      </c>
      <c r="F18" s="40"/>
    </row>
    <row r="19" spans="1:9">
      <c r="A19" s="14" t="s">
        <v>36</v>
      </c>
      <c r="B19" s="11" t="s">
        <v>115</v>
      </c>
      <c r="C19" s="11" t="s">
        <v>8</v>
      </c>
      <c r="D19" s="12">
        <v>0.3</v>
      </c>
      <c r="E19" s="13">
        <f t="shared" ref="E19" si="0">D19*$H$10*12</f>
        <v>1399.68</v>
      </c>
      <c r="F19" s="40"/>
    </row>
    <row r="20" spans="1:9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0.81*$H$10*8+0.98*4*H10</f>
        <v>4043.5200000000004</v>
      </c>
      <c r="F20" s="40"/>
    </row>
    <row r="21" spans="1:9" ht="25.5">
      <c r="A21" s="14" t="s">
        <v>99</v>
      </c>
      <c r="B21" s="11" t="s">
        <v>19</v>
      </c>
      <c r="C21" s="11" t="s">
        <v>8</v>
      </c>
      <c r="D21" s="12" t="s">
        <v>216</v>
      </c>
      <c r="E21" s="13">
        <v>7606.32</v>
      </c>
      <c r="F21" s="40"/>
      <c r="I21" s="117"/>
    </row>
    <row r="22" spans="1:9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v>1621.84</v>
      </c>
      <c r="F22" s="40"/>
      <c r="I22" s="117"/>
    </row>
    <row r="23" spans="1:9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v>8639.81</v>
      </c>
      <c r="F23" s="40"/>
      <c r="I23" s="117"/>
    </row>
    <row r="24" spans="1:9" ht="19.5" thickBot="1">
      <c r="A24" s="16" t="s">
        <v>35</v>
      </c>
      <c r="B24" s="17"/>
      <c r="C24" s="17"/>
      <c r="D24" s="18"/>
      <c r="E24" s="116">
        <f>SUM(E12:E23)</f>
        <v>77349.329999999987</v>
      </c>
      <c r="F24" s="41"/>
      <c r="I24" s="117"/>
    </row>
    <row r="25" spans="1:9">
      <c r="A25" s="5"/>
      <c r="B25" s="5"/>
      <c r="C25" s="5"/>
      <c r="D25" s="5"/>
      <c r="E25" s="6"/>
      <c r="F25" s="6"/>
    </row>
    <row r="26" spans="1:9" ht="36.75" customHeight="1">
      <c r="A26" s="221" t="s">
        <v>420</v>
      </c>
      <c r="B26" s="221"/>
      <c r="C26" s="221"/>
      <c r="D26" s="221"/>
      <c r="E26" s="221"/>
      <c r="F26" s="26"/>
    </row>
    <row r="27" spans="1:9">
      <c r="A27" s="140"/>
      <c r="B27" s="140"/>
      <c r="C27" s="140"/>
      <c r="D27" s="140"/>
      <c r="E27" s="141"/>
      <c r="F27" s="6"/>
    </row>
    <row r="28" spans="1:9" ht="33.75" customHeight="1">
      <c r="A28" s="221" t="s">
        <v>285</v>
      </c>
      <c r="B28" s="221"/>
      <c r="C28" s="221"/>
      <c r="D28" s="221"/>
      <c r="E28" s="221"/>
      <c r="F28" s="27"/>
      <c r="H28" s="117"/>
    </row>
    <row r="29" spans="1:9">
      <c r="A29" s="5"/>
      <c r="B29" s="5"/>
      <c r="C29" s="5"/>
      <c r="D29" s="5"/>
      <c r="E29" s="6"/>
      <c r="F29" s="6"/>
    </row>
    <row r="30" spans="1:9" ht="29.25" customHeight="1">
      <c r="A30" s="221" t="s">
        <v>103</v>
      </c>
      <c r="B30" s="221"/>
      <c r="C30" s="221"/>
      <c r="D30" s="221"/>
      <c r="E30" s="221"/>
      <c r="F30" s="129"/>
    </row>
    <row r="31" spans="1:9">
      <c r="A31" s="128"/>
      <c r="B31" s="128"/>
      <c r="C31" s="128"/>
      <c r="D31" s="128"/>
      <c r="E31" s="128"/>
      <c r="F31" s="129"/>
    </row>
    <row r="32" spans="1:9" ht="28.5" customHeight="1">
      <c r="A32" s="221" t="s">
        <v>24</v>
      </c>
      <c r="B32" s="221"/>
      <c r="C32" s="221"/>
      <c r="D32" s="221"/>
      <c r="E32" s="221"/>
      <c r="F32" s="26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28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2:E32"/>
    <mergeCell ref="A35:E35"/>
    <mergeCell ref="B38:D38"/>
    <mergeCell ref="A30:E30"/>
  </mergeCells>
  <pageMargins left="0.24" right="0.21" top="0.4" bottom="0.32" header="0.3" footer="0.2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topLeftCell="A6" workbookViewId="0">
      <selection activeCell="G23" sqref="G23:I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95"/>
    </row>
    <row r="2" spans="1:8" ht="36" customHeight="1">
      <c r="A2" s="225" t="s">
        <v>1</v>
      </c>
      <c r="B2" s="225"/>
      <c r="C2" s="225"/>
      <c r="D2" s="225"/>
      <c r="E2" s="225"/>
      <c r="F2" s="196"/>
    </row>
    <row r="3" spans="1:8">
      <c r="A3" s="1"/>
      <c r="B3" s="1"/>
      <c r="C3" s="1"/>
      <c r="D3" s="1"/>
      <c r="E3" s="2"/>
      <c r="F3" s="2"/>
    </row>
    <row r="4" spans="1:8" ht="15" customHeight="1">
      <c r="A4" s="194" t="s">
        <v>2</v>
      </c>
      <c r="B4" s="1"/>
      <c r="C4" s="1"/>
      <c r="D4" s="226" t="s">
        <v>209</v>
      </c>
      <c r="E4" s="226"/>
      <c r="F4" s="19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210</v>
      </c>
      <c r="B7" s="221"/>
      <c r="C7" s="221"/>
      <c r="D7" s="221"/>
      <c r="E7" s="221"/>
      <c r="F7" s="194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211</v>
      </c>
      <c r="B9" s="221"/>
      <c r="C9" s="221"/>
      <c r="D9" s="221"/>
      <c r="E9" s="221"/>
      <c r="F9" s="194"/>
    </row>
    <row r="10" spans="1:8" ht="15.75" thickBot="1">
      <c r="A10" s="5"/>
      <c r="B10" s="5"/>
      <c r="C10" s="5"/>
      <c r="D10" s="5"/>
      <c r="E10" s="6"/>
      <c r="F10" s="6"/>
      <c r="H10">
        <v>523.9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4" customHeight="1">
      <c r="A12" s="180" t="s">
        <v>136</v>
      </c>
      <c r="B12" s="179" t="s">
        <v>137</v>
      </c>
      <c r="C12" s="11" t="s">
        <v>8</v>
      </c>
      <c r="D12" s="15">
        <v>0.2</v>
      </c>
      <c r="E12" s="181">
        <f>$H$10*D12*12</f>
        <v>1257.3600000000001</v>
      </c>
      <c r="F12" s="39"/>
    </row>
    <row r="13" spans="1:8" ht="60">
      <c r="A13" s="180" t="s">
        <v>138</v>
      </c>
      <c r="B13" s="179" t="s">
        <v>137</v>
      </c>
      <c r="C13" s="11" t="s">
        <v>8</v>
      </c>
      <c r="D13" s="15">
        <v>0.4</v>
      </c>
      <c r="E13" s="181">
        <f>$H$10*D13*12</f>
        <v>2514.7200000000003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0.86</v>
      </c>
      <c r="E14" s="181">
        <f t="shared" ref="E14:E23" si="0">$H$10*D14*12</f>
        <v>5406.6479999999992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>
        <v>1.04</v>
      </c>
      <c r="E15" s="181">
        <f t="shared" si="0"/>
        <v>6538.2719999999999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0.21</v>
      </c>
      <c r="E16" s="181">
        <f t="shared" si="0"/>
        <v>1320.2279999999998</v>
      </c>
      <c r="F16" s="40"/>
    </row>
    <row r="17" spans="1:8" ht="25.5">
      <c r="A17" s="14" t="s">
        <v>15</v>
      </c>
      <c r="B17" s="11" t="s">
        <v>115</v>
      </c>
      <c r="C17" s="11" t="s">
        <v>8</v>
      </c>
      <c r="D17" s="11">
        <v>2.4500000000000002</v>
      </c>
      <c r="E17" s="181">
        <f t="shared" si="0"/>
        <v>15402.66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>
        <v>2.98</v>
      </c>
      <c r="E18" s="181">
        <f t="shared" si="0"/>
        <v>18734.664000000001</v>
      </c>
      <c r="F18" s="40"/>
    </row>
    <row r="19" spans="1:8">
      <c r="A19" s="14" t="s">
        <v>36</v>
      </c>
      <c r="B19" s="11" t="s">
        <v>115</v>
      </c>
      <c r="C19" s="11" t="s">
        <v>8</v>
      </c>
      <c r="D19" s="12">
        <v>0.35</v>
      </c>
      <c r="E19" s="181">
        <f t="shared" si="0"/>
        <v>2200.3799999999997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>
        <v>0.98</v>
      </c>
      <c r="E20" s="181">
        <f t="shared" si="0"/>
        <v>6161.0639999999985</v>
      </c>
      <c r="F20" s="40"/>
    </row>
    <row r="21" spans="1:8" ht="25.5">
      <c r="A21" s="14" t="s">
        <v>20</v>
      </c>
      <c r="B21" s="11" t="s">
        <v>19</v>
      </c>
      <c r="C21" s="11" t="s">
        <v>8</v>
      </c>
      <c r="D21" s="15">
        <v>0.61</v>
      </c>
      <c r="E21" s="181">
        <f t="shared" si="0"/>
        <v>3834.9479999999994</v>
      </c>
      <c r="F21" s="40"/>
    </row>
    <row r="22" spans="1:8" ht="25.5">
      <c r="A22" s="14" t="s">
        <v>21</v>
      </c>
      <c r="B22" s="11" t="s">
        <v>19</v>
      </c>
      <c r="C22" s="11" t="s">
        <v>8</v>
      </c>
      <c r="D22" s="11">
        <v>0.35</v>
      </c>
      <c r="E22" s="181">
        <f t="shared" si="0"/>
        <v>2200.3799999999997</v>
      </c>
      <c r="F22" s="40"/>
      <c r="G22" s="117"/>
    </row>
    <row r="23" spans="1:8" ht="25.5">
      <c r="A23" s="14" t="s">
        <v>22</v>
      </c>
      <c r="B23" s="11" t="s">
        <v>17</v>
      </c>
      <c r="C23" s="11" t="s">
        <v>8</v>
      </c>
      <c r="D23" s="11">
        <v>0.61</v>
      </c>
      <c r="E23" s="181">
        <f t="shared" si="0"/>
        <v>3834.9479999999994</v>
      </c>
      <c r="F23" s="40"/>
      <c r="G23" s="117"/>
    </row>
    <row r="24" spans="1:8" ht="25.5">
      <c r="A24" s="21" t="s">
        <v>206</v>
      </c>
      <c r="B24" s="22"/>
      <c r="C24" s="22" t="s">
        <v>203</v>
      </c>
      <c r="D24" s="22"/>
      <c r="E24" s="191">
        <v>18385.46</v>
      </c>
      <c r="F24" s="40"/>
      <c r="G24" s="117"/>
    </row>
    <row r="25" spans="1:8" ht="25.5">
      <c r="A25" s="21" t="s">
        <v>287</v>
      </c>
      <c r="B25" s="22"/>
      <c r="C25" s="22" t="s">
        <v>203</v>
      </c>
      <c r="D25" s="22"/>
      <c r="E25" s="191">
        <v>369</v>
      </c>
      <c r="F25" s="40"/>
      <c r="G25" s="117"/>
    </row>
    <row r="26" spans="1:8" ht="19.5" thickBot="1">
      <c r="A26" s="16" t="s">
        <v>35</v>
      </c>
      <c r="B26" s="17"/>
      <c r="C26" s="17"/>
      <c r="D26" s="18"/>
      <c r="E26" s="116">
        <f>SUM(E12:E25)</f>
        <v>88160.731999999989</v>
      </c>
      <c r="F26" s="41"/>
      <c r="G26" s="117"/>
    </row>
    <row r="27" spans="1:8">
      <c r="A27" s="5"/>
      <c r="B27" s="5"/>
      <c r="C27" s="5"/>
      <c r="D27" s="5"/>
      <c r="E27" s="6"/>
      <c r="F27" s="6"/>
    </row>
    <row r="28" spans="1:8" ht="33.75" customHeight="1">
      <c r="A28" s="221" t="s">
        <v>503</v>
      </c>
      <c r="B28" s="221"/>
      <c r="C28" s="221"/>
      <c r="D28" s="221"/>
      <c r="E28" s="221"/>
      <c r="F28" s="194"/>
    </row>
    <row r="29" spans="1:8">
      <c r="A29" s="140"/>
      <c r="B29" s="140"/>
      <c r="C29" s="140"/>
      <c r="D29" s="140"/>
      <c r="E29" s="141"/>
      <c r="F29" s="6"/>
    </row>
    <row r="30" spans="1:8" ht="33" customHeight="1">
      <c r="A30" s="221" t="s">
        <v>286</v>
      </c>
      <c r="B30" s="221"/>
      <c r="C30" s="221"/>
      <c r="D30" s="221"/>
      <c r="E30" s="221"/>
      <c r="F30" s="199"/>
      <c r="H30" s="117"/>
    </row>
    <row r="31" spans="1:8">
      <c r="A31" s="5"/>
      <c r="B31" s="5"/>
      <c r="C31" s="5"/>
      <c r="D31" s="5"/>
      <c r="E31" s="6"/>
      <c r="F31" s="6"/>
    </row>
    <row r="32" spans="1:8" ht="29.25" customHeight="1">
      <c r="A32" s="221" t="s">
        <v>103</v>
      </c>
      <c r="B32" s="221"/>
      <c r="C32" s="221"/>
      <c r="D32" s="221"/>
      <c r="E32" s="221"/>
      <c r="F32" s="199"/>
    </row>
    <row r="33" spans="1:6">
      <c r="A33" s="194"/>
      <c r="B33" s="194"/>
      <c r="C33" s="194"/>
      <c r="D33" s="194"/>
      <c r="E33" s="194"/>
      <c r="F33" s="199"/>
    </row>
    <row r="34" spans="1:6" ht="28.5" customHeight="1">
      <c r="A34" s="221" t="s">
        <v>24</v>
      </c>
      <c r="B34" s="221"/>
      <c r="C34" s="221"/>
      <c r="D34" s="221"/>
      <c r="E34" s="221"/>
      <c r="F34" s="194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200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topLeftCell="A4" workbookViewId="0">
      <selection activeCell="H23" sqref="H23:J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67"/>
    </row>
    <row r="2" spans="1:8" ht="36" customHeight="1">
      <c r="A2" s="225" t="s">
        <v>1</v>
      </c>
      <c r="B2" s="225"/>
      <c r="C2" s="225"/>
      <c r="D2" s="225"/>
      <c r="E2" s="225"/>
      <c r="F2" s="168"/>
    </row>
    <row r="3" spans="1:8">
      <c r="A3" s="1"/>
      <c r="B3" s="1"/>
      <c r="C3" s="1"/>
      <c r="D3" s="1"/>
      <c r="E3" s="2"/>
      <c r="F3" s="2"/>
    </row>
    <row r="4" spans="1:8" ht="15" customHeight="1">
      <c r="A4" s="170" t="s">
        <v>2</v>
      </c>
      <c r="B4" s="1"/>
      <c r="C4" s="1"/>
      <c r="D4" s="226" t="s">
        <v>209</v>
      </c>
      <c r="E4" s="226"/>
      <c r="F4" s="16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430</v>
      </c>
      <c r="B7" s="221"/>
      <c r="C7" s="221"/>
      <c r="D7" s="221"/>
      <c r="E7" s="221"/>
      <c r="F7" s="170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135</v>
      </c>
      <c r="B9" s="221"/>
      <c r="C9" s="221"/>
      <c r="D9" s="221"/>
      <c r="E9" s="221"/>
      <c r="F9" s="170"/>
    </row>
    <row r="10" spans="1:8" ht="15.75" thickBot="1">
      <c r="A10" s="5"/>
      <c r="B10" s="5"/>
      <c r="C10" s="5"/>
      <c r="D10" s="5"/>
      <c r="E10" s="6"/>
      <c r="F10" s="6"/>
      <c r="H10">
        <v>395.6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4" customHeight="1">
      <c r="A12" s="180" t="s">
        <v>136</v>
      </c>
      <c r="B12" s="12" t="s">
        <v>137</v>
      </c>
      <c r="C12" s="11" t="s">
        <v>8</v>
      </c>
      <c r="D12" s="15">
        <v>0.2</v>
      </c>
      <c r="E12" s="181">
        <f>$H$10*D12*12</f>
        <v>949.44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0.4</v>
      </c>
      <c r="E13" s="181">
        <f t="shared" ref="E13:E22" si="0">$H$10*D13*12</f>
        <v>1898.88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0.91</v>
      </c>
      <c r="E14" s="181">
        <f t="shared" si="0"/>
        <v>4319.9520000000002</v>
      </c>
      <c r="F14" s="40"/>
    </row>
    <row r="15" spans="1:8" ht="38.25">
      <c r="A15" s="14" t="s">
        <v>191</v>
      </c>
      <c r="B15" s="11" t="s">
        <v>17</v>
      </c>
      <c r="C15" s="11" t="s">
        <v>8</v>
      </c>
      <c r="D15" s="12">
        <v>1.04</v>
      </c>
      <c r="E15" s="181">
        <f t="shared" si="0"/>
        <v>4937.0880000000006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</v>
      </c>
      <c r="E16" s="181">
        <f t="shared" si="0"/>
        <v>949.44</v>
      </c>
      <c r="F16" s="40"/>
    </row>
    <row r="17" spans="1:8" ht="25.5">
      <c r="A17" s="14" t="s">
        <v>15</v>
      </c>
      <c r="B17" s="11" t="s">
        <v>115</v>
      </c>
      <c r="C17" s="11" t="s">
        <v>8</v>
      </c>
      <c r="D17" s="11">
        <v>1.79</v>
      </c>
      <c r="E17" s="181">
        <f t="shared" si="0"/>
        <v>8497.4880000000012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>
        <v>2.98</v>
      </c>
      <c r="E18" s="181">
        <f t="shared" si="0"/>
        <v>14146.656000000003</v>
      </c>
      <c r="F18" s="40"/>
    </row>
    <row r="19" spans="1:8">
      <c r="A19" s="14" t="s">
        <v>36</v>
      </c>
      <c r="B19" s="11" t="s">
        <v>115</v>
      </c>
      <c r="C19" s="11" t="s">
        <v>8</v>
      </c>
      <c r="D19" s="12">
        <v>0.61</v>
      </c>
      <c r="E19" s="181">
        <f t="shared" si="0"/>
        <v>2895.7919999999999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>
        <v>0.98</v>
      </c>
      <c r="E20" s="181">
        <f t="shared" si="0"/>
        <v>4652.2559999999994</v>
      </c>
      <c r="F20" s="40"/>
    </row>
    <row r="21" spans="1:8" ht="25.5">
      <c r="A21" s="14" t="s">
        <v>21</v>
      </c>
      <c r="B21" s="11" t="s">
        <v>19</v>
      </c>
      <c r="C21" s="11" t="s">
        <v>8</v>
      </c>
      <c r="D21" s="11">
        <v>0.35</v>
      </c>
      <c r="E21" s="181">
        <f t="shared" si="0"/>
        <v>1661.52</v>
      </c>
      <c r="F21" s="40"/>
      <c r="G21" s="117"/>
    </row>
    <row r="22" spans="1:8" ht="25.5">
      <c r="A22" s="14" t="s">
        <v>22</v>
      </c>
      <c r="B22" s="11" t="s">
        <v>17</v>
      </c>
      <c r="C22" s="11" t="s">
        <v>8</v>
      </c>
      <c r="D22" s="11">
        <v>0.61</v>
      </c>
      <c r="E22" s="181">
        <f t="shared" si="0"/>
        <v>2895.7919999999999</v>
      </c>
      <c r="F22" s="40"/>
      <c r="G22" s="117"/>
    </row>
    <row r="23" spans="1:8" ht="25.5">
      <c r="A23" s="21" t="s">
        <v>206</v>
      </c>
      <c r="B23" s="22"/>
      <c r="C23" s="22"/>
      <c r="D23" s="22"/>
      <c r="E23" s="191">
        <v>13882.97</v>
      </c>
      <c r="F23" s="40"/>
      <c r="G23" s="117"/>
    </row>
    <row r="24" spans="1:8" ht="19.5" thickBot="1">
      <c r="A24" s="16" t="s">
        <v>35</v>
      </c>
      <c r="B24" s="17"/>
      <c r="C24" s="17"/>
      <c r="D24" s="18"/>
      <c r="E24" s="116">
        <f>SUM(E12:E23)</f>
        <v>61687.274000000005</v>
      </c>
      <c r="F24" s="41"/>
      <c r="G24" s="117"/>
    </row>
    <row r="25" spans="1:8">
      <c r="A25" s="5"/>
      <c r="B25" s="5"/>
      <c r="C25" s="5"/>
      <c r="D25" s="5"/>
      <c r="E25" s="6"/>
      <c r="F25" s="6"/>
    </row>
    <row r="26" spans="1:8" ht="33.75" customHeight="1">
      <c r="A26" s="221" t="s">
        <v>504</v>
      </c>
      <c r="B26" s="221"/>
      <c r="C26" s="221"/>
      <c r="D26" s="221"/>
      <c r="E26" s="221"/>
      <c r="F26" s="170"/>
    </row>
    <row r="27" spans="1:8">
      <c r="A27" s="140"/>
      <c r="B27" s="140"/>
      <c r="C27" s="140"/>
      <c r="D27" s="140"/>
      <c r="E27" s="141"/>
      <c r="F27" s="6"/>
    </row>
    <row r="28" spans="1:8" ht="33" customHeight="1">
      <c r="A28" s="221" t="s">
        <v>429</v>
      </c>
      <c r="B28" s="221"/>
      <c r="C28" s="221"/>
      <c r="D28" s="221"/>
      <c r="E28" s="221"/>
      <c r="F28" s="171"/>
      <c r="H28" s="117"/>
    </row>
    <row r="29" spans="1:8">
      <c r="A29" s="5"/>
      <c r="B29" s="5"/>
      <c r="C29" s="5"/>
      <c r="D29" s="5"/>
      <c r="E29" s="6"/>
      <c r="F29" s="6"/>
    </row>
    <row r="30" spans="1:8" ht="29.25" customHeight="1">
      <c r="A30" s="221" t="s">
        <v>103</v>
      </c>
      <c r="B30" s="221"/>
      <c r="C30" s="221"/>
      <c r="D30" s="221"/>
      <c r="E30" s="221"/>
      <c r="F30" s="171"/>
    </row>
    <row r="31" spans="1:8">
      <c r="A31" s="170"/>
      <c r="B31" s="170"/>
      <c r="C31" s="170"/>
      <c r="D31" s="170"/>
      <c r="E31" s="170"/>
      <c r="F31" s="171"/>
    </row>
    <row r="32" spans="1:8" ht="28.5" customHeight="1">
      <c r="A32" s="221" t="s">
        <v>24</v>
      </c>
      <c r="B32" s="221"/>
      <c r="C32" s="221"/>
      <c r="D32" s="221"/>
      <c r="E32" s="221"/>
      <c r="F32" s="170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72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F12" sqref="F12:G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33"/>
    </row>
    <row r="2" spans="1:8" ht="36" customHeight="1">
      <c r="A2" s="225" t="s">
        <v>1</v>
      </c>
      <c r="B2" s="225"/>
      <c r="C2" s="225"/>
      <c r="D2" s="225"/>
      <c r="E2" s="225"/>
      <c r="F2" s="34"/>
    </row>
    <row r="3" spans="1:8">
      <c r="A3" s="1"/>
      <c r="B3" s="1"/>
      <c r="C3" s="1"/>
      <c r="D3" s="1"/>
      <c r="E3" s="2"/>
      <c r="F3" s="2"/>
    </row>
    <row r="4" spans="1:8" ht="15" customHeight="1">
      <c r="A4" s="36" t="s">
        <v>2</v>
      </c>
      <c r="B4" s="1"/>
      <c r="C4" s="1"/>
      <c r="D4" s="226" t="s">
        <v>209</v>
      </c>
      <c r="E4" s="226"/>
      <c r="F4" s="3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134</v>
      </c>
      <c r="B7" s="221"/>
      <c r="C7" s="221"/>
      <c r="D7" s="221"/>
      <c r="E7" s="221"/>
      <c r="F7" s="3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48</v>
      </c>
      <c r="B9" s="221"/>
      <c r="C9" s="221"/>
      <c r="D9" s="221"/>
      <c r="E9" s="221"/>
      <c r="F9" s="36"/>
    </row>
    <row r="10" spans="1:8" ht="15.75" thickBot="1">
      <c r="A10" s="5"/>
      <c r="B10" s="5"/>
      <c r="C10" s="5"/>
      <c r="D10" s="5"/>
      <c r="E10" s="6"/>
      <c r="F10" s="6"/>
      <c r="H10">
        <v>384.7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0.28999999999999998</v>
      </c>
      <c r="E12" s="13">
        <v>1350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0.6</v>
      </c>
      <c r="E13" s="13">
        <f>D13*12*H10</f>
        <v>2769.8399999999997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0.14000000000000001</v>
      </c>
      <c r="E14" s="13">
        <f>D14*12*H10</f>
        <v>646.29600000000005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6.94</v>
      </c>
      <c r="E15" s="13">
        <f>D15*12*H10</f>
        <v>32037.815999999999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11448.671999999999</v>
      </c>
      <c r="F16" s="40"/>
    </row>
    <row r="17" spans="1:8">
      <c r="A17" s="14" t="s">
        <v>36</v>
      </c>
      <c r="B17" s="11" t="s">
        <v>115</v>
      </c>
      <c r="C17" s="11" t="s">
        <v>8</v>
      </c>
      <c r="D17" s="12">
        <v>0.49</v>
      </c>
      <c r="E17" s="13">
        <f>D17*12*H10</f>
        <v>2262.0360000000001</v>
      </c>
      <c r="F17" s="40"/>
    </row>
    <row r="18" spans="1:8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>D18*12*H10</f>
        <v>4524.0720000000001</v>
      </c>
      <c r="F18" s="40"/>
    </row>
    <row r="19" spans="1:8" ht="26.25" customHeight="1">
      <c r="A19" s="14" t="s">
        <v>99</v>
      </c>
      <c r="B19" s="11" t="s">
        <v>19</v>
      </c>
      <c r="C19" s="11" t="s">
        <v>8</v>
      </c>
      <c r="D19" s="12">
        <v>1.69</v>
      </c>
      <c r="E19" s="144">
        <v>7533.96</v>
      </c>
      <c r="F19" s="40"/>
      <c r="G19" s="117"/>
    </row>
    <row r="20" spans="1:8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>D20*12*H10</f>
        <v>1615.7399999999998</v>
      </c>
      <c r="F20" s="40"/>
      <c r="G20" s="117"/>
    </row>
    <row r="21" spans="1:8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f>D21*12*H10</f>
        <v>7432.4039999999995</v>
      </c>
      <c r="F21" s="40"/>
      <c r="G21" s="117"/>
    </row>
    <row r="22" spans="1:8" ht="19.5" thickBot="1">
      <c r="A22" s="16" t="s">
        <v>35</v>
      </c>
      <c r="B22" s="17"/>
      <c r="C22" s="17"/>
      <c r="D22" s="18"/>
      <c r="E22" s="116">
        <f>SUM(E12:E21)</f>
        <v>71620.835999999996</v>
      </c>
      <c r="F22" s="41"/>
      <c r="G22" s="117"/>
    </row>
    <row r="23" spans="1:8">
      <c r="A23" s="5"/>
      <c r="B23" s="5"/>
      <c r="C23" s="5"/>
      <c r="D23" s="5"/>
      <c r="E23" s="6"/>
      <c r="F23" s="6"/>
    </row>
    <row r="24" spans="1:8" ht="29.25" customHeight="1">
      <c r="A24" s="221" t="s">
        <v>505</v>
      </c>
      <c r="B24" s="221"/>
      <c r="C24" s="221"/>
      <c r="D24" s="221"/>
      <c r="E24" s="221"/>
      <c r="F24" s="36"/>
    </row>
    <row r="25" spans="1:8">
      <c r="A25" s="140"/>
      <c r="B25" s="140"/>
      <c r="C25" s="140"/>
      <c r="D25" s="140"/>
      <c r="E25" s="141"/>
      <c r="F25" s="6"/>
    </row>
    <row r="26" spans="1:8" ht="29.25" customHeight="1">
      <c r="A26" s="221" t="s">
        <v>288</v>
      </c>
      <c r="B26" s="221"/>
      <c r="C26" s="221"/>
      <c r="D26" s="221"/>
      <c r="E26" s="221"/>
      <c r="F26" s="129"/>
      <c r="H26" s="117"/>
    </row>
    <row r="27" spans="1:8">
      <c r="A27" s="5"/>
      <c r="B27" s="5"/>
      <c r="C27" s="5"/>
      <c r="D27" s="5"/>
      <c r="E27" s="6"/>
      <c r="F27" s="6"/>
    </row>
    <row r="28" spans="1:8" ht="29.25" customHeight="1">
      <c r="A28" s="221" t="s">
        <v>103</v>
      </c>
      <c r="B28" s="221"/>
      <c r="C28" s="221"/>
      <c r="D28" s="221"/>
      <c r="E28" s="221"/>
      <c r="F28" s="129"/>
    </row>
    <row r="29" spans="1:8">
      <c r="A29" s="128"/>
      <c r="B29" s="128"/>
      <c r="C29" s="128"/>
      <c r="D29" s="128"/>
      <c r="E29" s="128"/>
      <c r="F29" s="129"/>
    </row>
    <row r="30" spans="1:8" ht="28.5" customHeight="1">
      <c r="A30" s="221" t="s">
        <v>24</v>
      </c>
      <c r="B30" s="221"/>
      <c r="C30" s="221"/>
      <c r="D30" s="221"/>
      <c r="E30" s="221"/>
      <c r="F30" s="128"/>
    </row>
    <row r="31" spans="1:8">
      <c r="A31" s="5"/>
      <c r="B31" s="5"/>
      <c r="C31" s="5"/>
      <c r="D31" s="5"/>
      <c r="E31" s="6"/>
      <c r="F31" s="6"/>
    </row>
    <row r="32" spans="1:8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38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topLeftCell="A9" workbookViewId="0">
      <selection activeCell="F16" sqref="F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76"/>
    </row>
    <row r="2" spans="1:8" ht="36" customHeight="1">
      <c r="A2" s="225" t="s">
        <v>1</v>
      </c>
      <c r="B2" s="225"/>
      <c r="C2" s="225"/>
      <c r="D2" s="225"/>
      <c r="E2" s="225"/>
      <c r="F2" s="177"/>
    </row>
    <row r="3" spans="1:8">
      <c r="A3" s="1"/>
      <c r="B3" s="1"/>
      <c r="C3" s="1"/>
      <c r="D3" s="1"/>
      <c r="E3" s="2"/>
      <c r="F3" s="2"/>
    </row>
    <row r="4" spans="1:8" ht="15" customHeight="1">
      <c r="A4" s="173" t="s">
        <v>2</v>
      </c>
      <c r="B4" s="1"/>
      <c r="C4" s="1"/>
      <c r="D4" s="226" t="s">
        <v>209</v>
      </c>
      <c r="E4" s="226"/>
      <c r="F4" s="17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143</v>
      </c>
      <c r="B7" s="221"/>
      <c r="C7" s="221"/>
      <c r="D7" s="221"/>
      <c r="E7" s="221"/>
      <c r="F7" s="173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144</v>
      </c>
      <c r="B9" s="221"/>
      <c r="C9" s="221"/>
      <c r="D9" s="221"/>
      <c r="E9" s="221"/>
      <c r="F9" s="173"/>
    </row>
    <row r="10" spans="1:8" ht="15.75" thickBot="1">
      <c r="A10" s="5"/>
      <c r="B10" s="5"/>
      <c r="C10" s="5"/>
      <c r="D10" s="5"/>
      <c r="E10" s="6"/>
      <c r="F10" s="6"/>
      <c r="H10">
        <v>1015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0.8</v>
      </c>
      <c r="E12" s="181">
        <f>D12*6*$H$10</f>
        <v>4872.0000000000009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0.93</v>
      </c>
      <c r="E13" s="181">
        <f t="shared" ref="E13:E23" si="0">D13*6*$H$10</f>
        <v>5663.7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0.49</v>
      </c>
      <c r="E14" s="181">
        <f t="shared" si="0"/>
        <v>2984.1</v>
      </c>
      <c r="F14" s="40"/>
    </row>
    <row r="15" spans="1:8" ht="38.25">
      <c r="A15" s="14" t="s">
        <v>191</v>
      </c>
      <c r="B15" s="11" t="s">
        <v>115</v>
      </c>
      <c r="C15" s="11" t="s">
        <v>8</v>
      </c>
      <c r="D15" s="12">
        <v>1.04</v>
      </c>
      <c r="E15" s="181">
        <f t="shared" si="0"/>
        <v>6333.6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0.09</v>
      </c>
      <c r="E16" s="181">
        <v>1176.8499999999999</v>
      </c>
      <c r="F16" s="40"/>
    </row>
    <row r="17" spans="1:6" ht="29.25" customHeight="1">
      <c r="A17" s="14" t="s">
        <v>15</v>
      </c>
      <c r="B17" s="11" t="s">
        <v>115</v>
      </c>
      <c r="C17" s="11" t="s">
        <v>8</v>
      </c>
      <c r="D17" s="11">
        <v>4.54</v>
      </c>
      <c r="E17" s="181">
        <f t="shared" si="0"/>
        <v>27648.600000000002</v>
      </c>
      <c r="F17" s="40"/>
    </row>
    <row r="18" spans="1:6">
      <c r="A18" s="14" t="s">
        <v>32</v>
      </c>
      <c r="B18" s="11" t="s">
        <v>17</v>
      </c>
      <c r="C18" s="11" t="s">
        <v>8</v>
      </c>
      <c r="D18" s="12">
        <v>3.18</v>
      </c>
      <c r="E18" s="181">
        <f t="shared" si="0"/>
        <v>19366.2</v>
      </c>
      <c r="F18" s="40"/>
    </row>
    <row r="19" spans="1:6" s="205" customFormat="1">
      <c r="A19" s="14" t="s">
        <v>36</v>
      </c>
      <c r="B19" s="11" t="s">
        <v>115</v>
      </c>
      <c r="C19" s="11" t="s">
        <v>8</v>
      </c>
      <c r="D19" s="11">
        <v>0.09</v>
      </c>
      <c r="E19" s="203">
        <v>115.2</v>
      </c>
      <c r="F19" s="204"/>
    </row>
    <row r="20" spans="1:6" ht="25.5">
      <c r="A20" s="14" t="s">
        <v>18</v>
      </c>
      <c r="B20" s="11" t="s">
        <v>19</v>
      </c>
      <c r="C20" s="11" t="s">
        <v>8</v>
      </c>
      <c r="D20" s="12">
        <v>0.98</v>
      </c>
      <c r="E20" s="181">
        <f t="shared" si="0"/>
        <v>5968.2</v>
      </c>
      <c r="F20" s="40"/>
    </row>
    <row r="21" spans="1:6" ht="25.5">
      <c r="A21" s="14" t="s">
        <v>20</v>
      </c>
      <c r="B21" s="11" t="s">
        <v>19</v>
      </c>
      <c r="C21" s="11" t="s">
        <v>8</v>
      </c>
      <c r="D21" s="12">
        <v>0.61</v>
      </c>
      <c r="E21" s="181">
        <f t="shared" si="0"/>
        <v>3714.9</v>
      </c>
      <c r="F21" s="40"/>
    </row>
    <row r="22" spans="1:6" ht="25.5">
      <c r="A22" s="14" t="s">
        <v>21</v>
      </c>
      <c r="B22" s="11" t="s">
        <v>19</v>
      </c>
      <c r="C22" s="11" t="s">
        <v>8</v>
      </c>
      <c r="D22" s="11">
        <v>0.35</v>
      </c>
      <c r="E22" s="181">
        <f t="shared" si="0"/>
        <v>2131.4999999999995</v>
      </c>
      <c r="F22" s="40"/>
    </row>
    <row r="23" spans="1:6" ht="25.5">
      <c r="A23" s="14" t="s">
        <v>22</v>
      </c>
      <c r="B23" s="11" t="s">
        <v>17</v>
      </c>
      <c r="C23" s="11" t="s">
        <v>8</v>
      </c>
      <c r="D23" s="11">
        <v>1.1499999999999999</v>
      </c>
      <c r="E23" s="181">
        <f t="shared" si="0"/>
        <v>7003.4999999999991</v>
      </c>
      <c r="F23" s="40"/>
    </row>
    <row r="24" spans="1:6" ht="17.25" customHeight="1">
      <c r="A24" s="21" t="s">
        <v>289</v>
      </c>
      <c r="B24" s="22"/>
      <c r="C24" s="22" t="s">
        <v>203</v>
      </c>
      <c r="D24" s="22"/>
      <c r="E24" s="191">
        <v>1846</v>
      </c>
      <c r="F24" s="40"/>
    </row>
    <row r="25" spans="1:6" ht="26.25" customHeight="1">
      <c r="A25" s="21" t="s">
        <v>207</v>
      </c>
      <c r="B25" s="22"/>
      <c r="C25" s="22" t="s">
        <v>203</v>
      </c>
      <c r="D25" s="22"/>
      <c r="E25" s="191">
        <v>172</v>
      </c>
      <c r="F25" s="40"/>
    </row>
    <row r="26" spans="1:6" ht="17.25" customHeight="1">
      <c r="A26" s="21" t="s">
        <v>290</v>
      </c>
      <c r="B26" s="22"/>
      <c r="C26" s="22" t="s">
        <v>203</v>
      </c>
      <c r="D26" s="22"/>
      <c r="E26" s="191">
        <v>312</v>
      </c>
      <c r="F26" s="40"/>
    </row>
    <row r="27" spans="1:6" ht="17.25" customHeight="1">
      <c r="A27" s="21" t="s">
        <v>291</v>
      </c>
      <c r="B27" s="22"/>
      <c r="C27" s="22" t="s">
        <v>203</v>
      </c>
      <c r="D27" s="22"/>
      <c r="E27" s="191">
        <v>143</v>
      </c>
      <c r="F27" s="40"/>
    </row>
    <row r="28" spans="1:6" ht="17.25" customHeight="1">
      <c r="A28" s="21" t="s">
        <v>292</v>
      </c>
      <c r="B28" s="22"/>
      <c r="C28" s="22" t="s">
        <v>203</v>
      </c>
      <c r="D28" s="22"/>
      <c r="E28" s="191">
        <v>422</v>
      </c>
      <c r="F28" s="40"/>
    </row>
    <row r="29" spans="1:6" ht="17.25" customHeight="1">
      <c r="A29" s="21" t="s">
        <v>314</v>
      </c>
      <c r="B29" s="22"/>
      <c r="C29" s="22" t="s">
        <v>203</v>
      </c>
      <c r="D29" s="22"/>
      <c r="E29" s="191">
        <v>23806</v>
      </c>
      <c r="F29" s="40"/>
    </row>
    <row r="30" spans="1:6" ht="26.25" customHeight="1">
      <c r="A30" s="21" t="s">
        <v>321</v>
      </c>
      <c r="B30" s="22"/>
      <c r="C30" s="22" t="s">
        <v>203</v>
      </c>
      <c r="D30" s="22"/>
      <c r="E30" s="191">
        <v>3350.9</v>
      </c>
      <c r="F30" s="40"/>
    </row>
    <row r="31" spans="1:6">
      <c r="A31" s="21" t="s">
        <v>322</v>
      </c>
      <c r="B31" s="22"/>
      <c r="C31" s="22" t="s">
        <v>203</v>
      </c>
      <c r="D31" s="22"/>
      <c r="E31" s="191">
        <v>10506</v>
      </c>
      <c r="F31" s="40"/>
    </row>
    <row r="32" spans="1:6">
      <c r="A32" s="21" t="s">
        <v>406</v>
      </c>
      <c r="B32" s="22"/>
      <c r="C32" s="22" t="s">
        <v>203</v>
      </c>
      <c r="D32" s="22"/>
      <c r="E32" s="191">
        <v>23806</v>
      </c>
      <c r="F32" s="40"/>
    </row>
    <row r="33" spans="1:8" ht="19.5" thickBot="1">
      <c r="A33" s="16" t="s">
        <v>35</v>
      </c>
      <c r="B33" s="17"/>
      <c r="C33" s="17"/>
      <c r="D33" s="18"/>
      <c r="E33" s="116">
        <f>SUM(E12:E32)</f>
        <v>151342.25</v>
      </c>
      <c r="F33" s="41"/>
    </row>
    <row r="34" spans="1:8">
      <c r="A34" s="5"/>
      <c r="B34" s="5"/>
      <c r="C34" s="5"/>
      <c r="D34" s="5"/>
      <c r="E34" s="6"/>
      <c r="F34" s="6"/>
    </row>
    <row r="35" spans="1:8" ht="29.25" customHeight="1">
      <c r="A35" s="221" t="s">
        <v>506</v>
      </c>
      <c r="B35" s="221"/>
      <c r="C35" s="221"/>
      <c r="D35" s="221"/>
      <c r="E35" s="221"/>
      <c r="F35" s="173"/>
    </row>
    <row r="36" spans="1:8">
      <c r="A36" s="140"/>
      <c r="B36" s="140"/>
      <c r="C36" s="140"/>
      <c r="D36" s="140"/>
      <c r="E36" s="141"/>
      <c r="F36" s="6"/>
    </row>
    <row r="37" spans="1:8" ht="29.25" customHeight="1">
      <c r="A37" s="221" t="s">
        <v>293</v>
      </c>
      <c r="B37" s="221"/>
      <c r="C37" s="221"/>
      <c r="D37" s="221"/>
      <c r="E37" s="221"/>
      <c r="F37" s="174"/>
      <c r="H37" s="117"/>
    </row>
    <row r="38" spans="1:8">
      <c r="A38" s="5"/>
      <c r="B38" s="5"/>
      <c r="C38" s="5"/>
      <c r="D38" s="5"/>
      <c r="E38" s="6"/>
      <c r="F38" s="6"/>
    </row>
    <row r="39" spans="1:8" ht="29.25" customHeight="1">
      <c r="A39" s="221" t="s">
        <v>103</v>
      </c>
      <c r="B39" s="221"/>
      <c r="C39" s="221"/>
      <c r="D39" s="221"/>
      <c r="E39" s="221"/>
      <c r="F39" s="174"/>
    </row>
    <row r="40" spans="1:8">
      <c r="A40" s="173"/>
      <c r="B40" s="173"/>
      <c r="C40" s="173"/>
      <c r="D40" s="173"/>
      <c r="E40" s="173"/>
      <c r="F40" s="174"/>
    </row>
    <row r="41" spans="1:8" ht="28.5" customHeight="1">
      <c r="A41" s="221" t="s">
        <v>24</v>
      </c>
      <c r="B41" s="221"/>
      <c r="C41" s="221"/>
      <c r="D41" s="221"/>
      <c r="E41" s="221"/>
      <c r="F41" s="173"/>
    </row>
    <row r="42" spans="1:8">
      <c r="A42" s="5"/>
      <c r="B42" s="5"/>
      <c r="C42" s="5"/>
      <c r="D42" s="5"/>
      <c r="E42" s="6"/>
      <c r="F42" s="6"/>
    </row>
    <row r="43" spans="1:8">
      <c r="A43" s="5"/>
      <c r="B43" s="5"/>
      <c r="C43" s="5"/>
      <c r="D43" s="5"/>
      <c r="E43" s="6"/>
      <c r="F43" s="6"/>
    </row>
    <row r="44" spans="1:8">
      <c r="A44" s="223" t="s">
        <v>25</v>
      </c>
      <c r="B44" s="223"/>
      <c r="C44" s="223"/>
      <c r="D44" s="223"/>
      <c r="E44" s="223"/>
      <c r="F44" s="175"/>
    </row>
    <row r="45" spans="1:8">
      <c r="A45" s="5"/>
      <c r="B45" s="5"/>
      <c r="C45" s="5"/>
      <c r="D45" s="5"/>
      <c r="E45" s="6"/>
      <c r="F45" s="6"/>
    </row>
    <row r="46" spans="1:8">
      <c r="A46" s="5" t="s">
        <v>26</v>
      </c>
      <c r="B46" s="5" t="s">
        <v>27</v>
      </c>
      <c r="C46" s="5"/>
      <c r="D46" s="5"/>
      <c r="E46" s="6" t="s">
        <v>28</v>
      </c>
      <c r="F46" s="6"/>
    </row>
    <row r="47" spans="1:8">
      <c r="A47" s="5"/>
      <c r="B47" s="220" t="s">
        <v>29</v>
      </c>
      <c r="C47" s="220"/>
      <c r="D47" s="220"/>
      <c r="E47" s="6" t="s">
        <v>30</v>
      </c>
      <c r="F47" s="6"/>
    </row>
    <row r="48" spans="1:8">
      <c r="A48" s="5"/>
      <c r="B48" s="5"/>
      <c r="C48" s="5"/>
      <c r="D48" s="5"/>
      <c r="E48" s="6"/>
      <c r="F48" s="6"/>
    </row>
    <row r="49" spans="1:6">
      <c r="A49" s="5"/>
      <c r="B49" s="5"/>
      <c r="C49" s="5"/>
      <c r="D49" s="5"/>
      <c r="E49" s="6"/>
      <c r="F49" s="6"/>
    </row>
    <row r="50" spans="1:6">
      <c r="A50" s="5" t="s">
        <v>31</v>
      </c>
      <c r="B50" s="5" t="s">
        <v>27</v>
      </c>
      <c r="C50" s="5"/>
      <c r="D50" s="5"/>
      <c r="E50" s="6" t="s">
        <v>28</v>
      </c>
      <c r="F50" s="6"/>
    </row>
    <row r="51" spans="1:6">
      <c r="A51" s="5"/>
      <c r="B51" s="220" t="s">
        <v>29</v>
      </c>
      <c r="C51" s="220"/>
      <c r="D51" s="220"/>
      <c r="E51" s="6" t="s">
        <v>30</v>
      </c>
      <c r="F51" s="6"/>
    </row>
    <row r="52" spans="1:6">
      <c r="A52" s="5"/>
      <c r="B52" s="5"/>
      <c r="C52" s="5"/>
      <c r="D52" s="5"/>
      <c r="E52" s="6"/>
      <c r="F52" s="6"/>
    </row>
  </sheetData>
  <mergeCells count="12">
    <mergeCell ref="B51:D51"/>
    <mergeCell ref="A1:E1"/>
    <mergeCell ref="A2:E2"/>
    <mergeCell ref="D4:E4"/>
    <mergeCell ref="A7:E7"/>
    <mergeCell ref="A9:E9"/>
    <mergeCell ref="A35:E35"/>
    <mergeCell ref="A37:E37"/>
    <mergeCell ref="A39:E39"/>
    <mergeCell ref="A41:E41"/>
    <mergeCell ref="A44:E44"/>
    <mergeCell ref="B47:D47"/>
  </mergeCells>
  <pageMargins left="0.24" right="0.21" top="0.4" bottom="0.32" header="0.3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18" workbookViewId="0">
      <selection activeCell="A31" sqref="A31:E31"/>
    </sheetView>
  </sheetViews>
  <sheetFormatPr defaultRowHeight="15"/>
  <cols>
    <col min="1" max="1" width="30.1406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>
      <c r="A4" s="25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21" t="s">
        <v>121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33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489</v>
      </c>
    </row>
    <row r="11" spans="1:7" ht="84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</row>
    <row r="12" spans="1:7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0.4*5*G10</f>
        <v>978</v>
      </c>
    </row>
    <row r="13" spans="1:7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D13*5*G10</f>
        <v>1271.4000000000001</v>
      </c>
    </row>
    <row r="14" spans="1:7" ht="51">
      <c r="A14" s="14" t="s">
        <v>10</v>
      </c>
      <c r="B14" s="11" t="s">
        <v>115</v>
      </c>
      <c r="C14" s="11" t="s">
        <v>12</v>
      </c>
      <c r="D14" s="12" t="s">
        <v>212</v>
      </c>
      <c r="E14" s="13">
        <f>0.18*$G$10*7+1.23*5*G10</f>
        <v>3623.4900000000002</v>
      </c>
    </row>
    <row r="15" spans="1:7" ht="51">
      <c r="A15" s="14" t="s">
        <v>37</v>
      </c>
      <c r="B15" s="12" t="s">
        <v>137</v>
      </c>
      <c r="C15" s="11" t="s">
        <v>8</v>
      </c>
      <c r="D15" s="12" t="s">
        <v>166</v>
      </c>
      <c r="E15" s="13">
        <f>1.04*$G$10*7+0.6*5*G10</f>
        <v>5026.92</v>
      </c>
    </row>
    <row r="16" spans="1:7" ht="51">
      <c r="A16" s="14" t="s">
        <v>13</v>
      </c>
      <c r="B16" s="11" t="s">
        <v>11</v>
      </c>
      <c r="C16" s="11" t="s">
        <v>14</v>
      </c>
      <c r="D16" s="12">
        <v>7.0000000000000007E-2</v>
      </c>
      <c r="E16" s="13">
        <f t="shared" ref="E16" si="0">D16*$G$10*12</f>
        <v>410.76000000000005</v>
      </c>
    </row>
    <row r="17" spans="1:10" ht="30.75" customHeight="1">
      <c r="A17" s="14" t="s">
        <v>15</v>
      </c>
      <c r="B17" s="11" t="s">
        <v>115</v>
      </c>
      <c r="C17" s="11" t="s">
        <v>8</v>
      </c>
      <c r="D17" s="11" t="s">
        <v>213</v>
      </c>
      <c r="E17" s="13">
        <f>6.55*$G$10*7+9.03*G10*5</f>
        <v>44499</v>
      </c>
    </row>
    <row r="18" spans="1:10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2.48*$G$10*7+3.18*5*G10</f>
        <v>16264.140000000001</v>
      </c>
    </row>
    <row r="19" spans="1:10" ht="25.5">
      <c r="A19" s="14" t="s">
        <v>18</v>
      </c>
      <c r="B19" s="11" t="s">
        <v>19</v>
      </c>
      <c r="C19" s="11" t="s">
        <v>8</v>
      </c>
      <c r="D19" s="12" t="s">
        <v>215</v>
      </c>
      <c r="E19" s="13">
        <f>0.81*$G$10*7+0.98*5*G10</f>
        <v>5168.7300000000005</v>
      </c>
    </row>
    <row r="20" spans="1:10" ht="25.5">
      <c r="A20" s="14" t="s">
        <v>79</v>
      </c>
      <c r="B20" s="11" t="s">
        <v>19</v>
      </c>
      <c r="C20" s="11" t="s">
        <v>8</v>
      </c>
      <c r="D20" s="15" t="s">
        <v>216</v>
      </c>
      <c r="E20" s="13">
        <f>1.47*$G$10*7+1.69*5*G10</f>
        <v>9163.86</v>
      </c>
    </row>
    <row r="21" spans="1:10" ht="25.5">
      <c r="A21" s="14" t="s">
        <v>21</v>
      </c>
      <c r="B21" s="11" t="s">
        <v>19</v>
      </c>
      <c r="C21" s="11" t="s">
        <v>8</v>
      </c>
      <c r="D21" s="11" t="s">
        <v>217</v>
      </c>
      <c r="E21" s="13">
        <f>0.31*$G$10*7+0.35*5*G10</f>
        <v>1916.88</v>
      </c>
    </row>
    <row r="22" spans="1:10" ht="25.5">
      <c r="A22" s="14" t="s">
        <v>22</v>
      </c>
      <c r="B22" s="11" t="s">
        <v>17</v>
      </c>
      <c r="C22" s="11" t="s">
        <v>8</v>
      </c>
      <c r="D22" s="11" t="s">
        <v>218</v>
      </c>
      <c r="E22" s="13">
        <f>0.53*$G$10*7+0.67*5*G10</f>
        <v>3452.34</v>
      </c>
      <c r="J22" s="117"/>
    </row>
    <row r="23" spans="1:10" ht="38.25">
      <c r="A23" s="14" t="s">
        <v>219</v>
      </c>
      <c r="B23" s="11" t="s">
        <v>220</v>
      </c>
      <c r="C23" s="11" t="s">
        <v>8</v>
      </c>
      <c r="D23" s="11">
        <v>2.04</v>
      </c>
      <c r="E23" s="13">
        <f>D23*5*G10</f>
        <v>4987.7999999999993</v>
      </c>
      <c r="J23" s="117"/>
    </row>
    <row r="24" spans="1:10">
      <c r="A24" s="14" t="s">
        <v>230</v>
      </c>
      <c r="B24" s="11"/>
      <c r="C24" s="11" t="s">
        <v>203</v>
      </c>
      <c r="D24" s="11"/>
      <c r="E24" s="13">
        <v>336</v>
      </c>
    </row>
    <row r="25" spans="1:10">
      <c r="A25" s="21" t="s">
        <v>231</v>
      </c>
      <c r="B25" s="22"/>
      <c r="C25" s="11" t="s">
        <v>203</v>
      </c>
      <c r="D25" s="22"/>
      <c r="E25" s="23">
        <v>189</v>
      </c>
    </row>
    <row r="26" spans="1:10">
      <c r="A26" s="21" t="s">
        <v>404</v>
      </c>
      <c r="B26" s="22"/>
      <c r="C26" s="11" t="s">
        <v>203</v>
      </c>
      <c r="D26" s="22"/>
      <c r="E26" s="23">
        <v>5805</v>
      </c>
    </row>
    <row r="27" spans="1:10" ht="19.5" thickBot="1">
      <c r="A27" s="16" t="s">
        <v>23</v>
      </c>
      <c r="B27" s="17"/>
      <c r="C27" s="17"/>
      <c r="D27" s="18"/>
      <c r="E27" s="19">
        <f>SUM(E12:E26)</f>
        <v>103093.32</v>
      </c>
    </row>
    <row r="28" spans="1:10">
      <c r="A28" s="5"/>
      <c r="B28" s="5"/>
      <c r="C28" s="5"/>
      <c r="D28" s="5"/>
      <c r="E28" s="6"/>
    </row>
    <row r="29" spans="1:10" ht="36.75" customHeight="1">
      <c r="A29" s="221" t="s">
        <v>418</v>
      </c>
      <c r="B29" s="221"/>
      <c r="C29" s="221"/>
      <c r="D29" s="221"/>
      <c r="E29" s="221"/>
    </row>
    <row r="30" spans="1:10">
      <c r="A30" s="140"/>
      <c r="B30" s="140"/>
      <c r="C30" s="140"/>
      <c r="D30" s="140"/>
      <c r="E30" s="141"/>
    </row>
    <row r="31" spans="1:10" ht="33" customHeight="1">
      <c r="A31" s="221" t="s">
        <v>306</v>
      </c>
      <c r="B31" s="221"/>
      <c r="C31" s="221"/>
      <c r="D31" s="221"/>
      <c r="E31" s="221"/>
    </row>
    <row r="32" spans="1:10">
      <c r="A32" s="139"/>
      <c r="B32" s="139"/>
      <c r="C32" s="139"/>
      <c r="D32" s="139"/>
      <c r="E32" s="139"/>
    </row>
    <row r="33" spans="1:5" ht="14.25" customHeight="1">
      <c r="A33" s="221" t="s">
        <v>103</v>
      </c>
      <c r="B33" s="221"/>
      <c r="C33" s="221"/>
      <c r="D33" s="221"/>
      <c r="E33" s="221"/>
    </row>
    <row r="34" spans="1:5">
      <c r="A34" s="5"/>
      <c r="B34" s="5"/>
      <c r="C34" s="5"/>
      <c r="D34" s="5"/>
      <c r="E34" s="6"/>
    </row>
    <row r="35" spans="1:5">
      <c r="A35" s="222" t="s">
        <v>49</v>
      </c>
      <c r="B35" s="222"/>
      <c r="C35" s="222"/>
      <c r="D35" s="222"/>
      <c r="E35" s="222"/>
    </row>
    <row r="36" spans="1:5">
      <c r="A36" s="5"/>
      <c r="B36" s="5"/>
      <c r="C36" s="5"/>
      <c r="D36" s="5"/>
      <c r="E36" s="6"/>
    </row>
    <row r="37" spans="1:5" ht="28.5" customHeight="1">
      <c r="A37" s="221" t="s">
        <v>24</v>
      </c>
      <c r="B37" s="221"/>
      <c r="C37" s="221"/>
      <c r="D37" s="221"/>
      <c r="E37" s="221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23" t="s">
        <v>25</v>
      </c>
      <c r="B40" s="223"/>
      <c r="C40" s="223"/>
      <c r="D40" s="223"/>
      <c r="E40" s="223"/>
    </row>
    <row r="41" spans="1:5">
      <c r="A41" s="5"/>
      <c r="B41" s="5"/>
      <c r="C41" s="5"/>
      <c r="D41" s="5"/>
      <c r="E41" s="6"/>
    </row>
    <row r="42" spans="1:5">
      <c r="A42" s="5" t="s">
        <v>26</v>
      </c>
      <c r="B42" s="5" t="s">
        <v>27</v>
      </c>
      <c r="C42" s="5"/>
      <c r="D42" s="5"/>
      <c r="E42" s="6" t="s">
        <v>28</v>
      </c>
    </row>
    <row r="43" spans="1:5">
      <c r="A43" s="5"/>
      <c r="B43" s="220" t="s">
        <v>29</v>
      </c>
      <c r="C43" s="220"/>
      <c r="D43" s="220"/>
      <c r="E43" s="6" t="s">
        <v>30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31</v>
      </c>
      <c r="B46" s="5" t="s">
        <v>27</v>
      </c>
      <c r="C46" s="5"/>
      <c r="D46" s="5"/>
      <c r="E46" s="6" t="s">
        <v>28</v>
      </c>
    </row>
    <row r="47" spans="1:5">
      <c r="A47" s="5"/>
      <c r="B47" s="220" t="s">
        <v>29</v>
      </c>
      <c r="C47" s="220"/>
      <c r="D47" s="220"/>
      <c r="E47" s="6" t="s">
        <v>30</v>
      </c>
    </row>
    <row r="48" spans="1:5">
      <c r="A48" s="5"/>
      <c r="B48" s="5"/>
      <c r="C48" s="5"/>
      <c r="D48" s="5"/>
      <c r="E48" s="6"/>
    </row>
  </sheetData>
  <mergeCells count="13">
    <mergeCell ref="B47:D47"/>
    <mergeCell ref="A1:E1"/>
    <mergeCell ref="A2:E2"/>
    <mergeCell ref="D4:E4"/>
    <mergeCell ref="A7:E7"/>
    <mergeCell ref="A9:E9"/>
    <mergeCell ref="A29:E29"/>
    <mergeCell ref="A33:E33"/>
    <mergeCell ref="A35:E35"/>
    <mergeCell ref="A37:E37"/>
    <mergeCell ref="A40:E40"/>
    <mergeCell ref="B43:D43"/>
    <mergeCell ref="A31:E31"/>
  </mergeCells>
  <pageMargins left="0.24" right="0.21" top="0.24" bottom="0.22" header="0.16" footer="0.1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topLeftCell="A13" workbookViewId="0">
      <selection activeCell="F12" sqref="F12:H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45"/>
    </row>
    <row r="2" spans="1:8" ht="36" customHeight="1">
      <c r="A2" s="225" t="s">
        <v>1</v>
      </c>
      <c r="B2" s="225"/>
      <c r="C2" s="225"/>
      <c r="D2" s="225"/>
      <c r="E2" s="225"/>
      <c r="F2" s="46"/>
    </row>
    <row r="3" spans="1:8">
      <c r="A3" s="1"/>
      <c r="B3" s="1"/>
      <c r="C3" s="1"/>
      <c r="D3" s="1"/>
      <c r="E3" s="2"/>
      <c r="F3" s="2"/>
    </row>
    <row r="4" spans="1:8" ht="15" customHeight="1">
      <c r="A4" s="42" t="s">
        <v>2</v>
      </c>
      <c r="B4" s="1"/>
      <c r="C4" s="1"/>
      <c r="D4" s="226" t="s">
        <v>209</v>
      </c>
      <c r="E4" s="226"/>
      <c r="F4" s="4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139</v>
      </c>
      <c r="B7" s="221"/>
      <c r="C7" s="221"/>
      <c r="D7" s="221"/>
      <c r="E7" s="221"/>
      <c r="F7" s="42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50</v>
      </c>
      <c r="B9" s="221"/>
      <c r="C9" s="221"/>
      <c r="D9" s="221"/>
      <c r="E9" s="221"/>
      <c r="F9" s="42"/>
    </row>
    <row r="10" spans="1:8" ht="15.75" thickBot="1">
      <c r="A10" s="5"/>
      <c r="B10" s="5"/>
      <c r="C10" s="5"/>
      <c r="D10" s="5"/>
      <c r="E10" s="6"/>
      <c r="F10" s="6"/>
      <c r="H10">
        <v>331.8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0.17</v>
      </c>
      <c r="E12" s="13">
        <v>1650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0.55000000000000004</v>
      </c>
      <c r="E13" s="13">
        <f>D13*12*H10</f>
        <v>2189.88</v>
      </c>
      <c r="F13" s="40"/>
      <c r="G13" s="117"/>
    </row>
    <row r="14" spans="1:8" ht="51">
      <c r="A14" s="14" t="s">
        <v>13</v>
      </c>
      <c r="B14" s="11" t="s">
        <v>115</v>
      </c>
      <c r="C14" s="11" t="s">
        <v>14</v>
      </c>
      <c r="D14" s="12">
        <v>0.4</v>
      </c>
      <c r="E14" s="13">
        <v>1843.7</v>
      </c>
      <c r="F14" s="40"/>
      <c r="G14" s="117"/>
    </row>
    <row r="15" spans="1:8" ht="25.5">
      <c r="A15" s="14" t="s">
        <v>15</v>
      </c>
      <c r="B15" s="11" t="s">
        <v>115</v>
      </c>
      <c r="C15" s="11" t="s">
        <v>8</v>
      </c>
      <c r="D15" s="11">
        <v>7.41</v>
      </c>
      <c r="E15" s="13">
        <f>D15*12*H10</f>
        <v>29503.656000000003</v>
      </c>
      <c r="F15" s="40"/>
      <c r="G15" s="117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>D16*12*H10</f>
        <v>8839.152</v>
      </c>
      <c r="F16" s="40"/>
      <c r="G16" s="117"/>
    </row>
    <row r="17" spans="1:7">
      <c r="A17" s="14" t="s">
        <v>36</v>
      </c>
      <c r="B17" s="11" t="s">
        <v>115</v>
      </c>
      <c r="C17" s="11" t="s">
        <v>8</v>
      </c>
      <c r="D17" s="12">
        <v>0.2</v>
      </c>
      <c r="E17" s="13">
        <f>D17*12*H10</f>
        <v>796.32000000000016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2946.3839999999996</v>
      </c>
      <c r="F18" s="40"/>
      <c r="G18" s="117"/>
    </row>
    <row r="19" spans="1:7" ht="25.5">
      <c r="A19" s="14" t="s">
        <v>99</v>
      </c>
      <c r="B19" s="11" t="s">
        <v>19</v>
      </c>
      <c r="C19" s="11" t="s">
        <v>8</v>
      </c>
      <c r="D19" s="12">
        <v>1.69</v>
      </c>
      <c r="E19" s="144">
        <v>6498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>D20*12*H10</f>
        <v>1194.48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44">
        <f>D21*12*H10</f>
        <v>2110.248</v>
      </c>
      <c r="F21" s="40"/>
      <c r="G21" s="117"/>
    </row>
    <row r="22" spans="1:7" ht="19.5" thickBot="1">
      <c r="A22" s="16" t="s">
        <v>35</v>
      </c>
      <c r="B22" s="17"/>
      <c r="C22" s="17"/>
      <c r="D22" s="18"/>
      <c r="E22" s="116">
        <f>SUM(E12:E21)</f>
        <v>57571.820000000007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1.5" customHeight="1">
      <c r="A24" s="221" t="s">
        <v>431</v>
      </c>
      <c r="B24" s="221"/>
      <c r="C24" s="221"/>
      <c r="D24" s="221"/>
      <c r="E24" s="221"/>
      <c r="F24" s="42"/>
    </row>
    <row r="25" spans="1:7">
      <c r="A25" s="140"/>
      <c r="B25" s="140"/>
      <c r="C25" s="140"/>
      <c r="D25" s="140"/>
      <c r="E25" s="141"/>
      <c r="F25" s="6"/>
    </row>
    <row r="26" spans="1:7" ht="29.25" customHeight="1">
      <c r="A26" s="221" t="s">
        <v>507</v>
      </c>
      <c r="B26" s="221"/>
      <c r="C26" s="221"/>
      <c r="D26" s="221"/>
      <c r="E26" s="221"/>
      <c r="F26" s="42"/>
    </row>
    <row r="27" spans="1:7">
      <c r="A27" s="5"/>
      <c r="B27" s="5"/>
      <c r="C27" s="5"/>
      <c r="D27" s="5"/>
      <c r="E27" s="6"/>
      <c r="F27" s="6"/>
    </row>
    <row r="28" spans="1:7" ht="33.75" customHeight="1">
      <c r="A28" s="221" t="s">
        <v>103</v>
      </c>
      <c r="B28" s="221"/>
      <c r="C28" s="221"/>
      <c r="D28" s="221"/>
      <c r="E28" s="221"/>
      <c r="F28" s="43"/>
    </row>
    <row r="29" spans="1:7">
      <c r="A29" s="128"/>
      <c r="B29" s="128"/>
      <c r="C29" s="128"/>
      <c r="D29" s="128"/>
      <c r="E29" s="128"/>
      <c r="F29" s="6"/>
    </row>
    <row r="30" spans="1:7" ht="28.5" customHeight="1">
      <c r="A30" s="221" t="s">
        <v>24</v>
      </c>
      <c r="B30" s="221"/>
      <c r="C30" s="221"/>
      <c r="D30" s="221"/>
      <c r="E30" s="221"/>
      <c r="F30" s="42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44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topLeftCell="A4" workbookViewId="0">
      <selection activeCell="F12" sqref="F12:H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33"/>
    </row>
    <row r="2" spans="1:8" ht="36" customHeight="1">
      <c r="A2" s="225" t="s">
        <v>1</v>
      </c>
      <c r="B2" s="225"/>
      <c r="C2" s="225"/>
      <c r="D2" s="225"/>
      <c r="E2" s="225"/>
      <c r="F2" s="34"/>
    </row>
    <row r="3" spans="1:8">
      <c r="A3" s="1"/>
      <c r="B3" s="1"/>
      <c r="C3" s="1"/>
      <c r="D3" s="1"/>
      <c r="E3" s="2"/>
      <c r="F3" s="2"/>
    </row>
    <row r="4" spans="1:8" ht="15" customHeight="1">
      <c r="A4" s="36" t="s">
        <v>2</v>
      </c>
      <c r="B4" s="1"/>
      <c r="C4" s="1"/>
      <c r="D4" s="226" t="s">
        <v>209</v>
      </c>
      <c r="E4" s="226"/>
      <c r="F4" s="3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140</v>
      </c>
      <c r="B7" s="221"/>
      <c r="C7" s="221"/>
      <c r="D7" s="221"/>
      <c r="E7" s="221"/>
      <c r="F7" s="3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51</v>
      </c>
      <c r="B9" s="221"/>
      <c r="C9" s="221"/>
      <c r="D9" s="221"/>
      <c r="E9" s="221"/>
      <c r="F9" s="36"/>
    </row>
    <row r="10" spans="1:8" ht="15.75" thickBot="1">
      <c r="A10" s="5"/>
      <c r="B10" s="5"/>
      <c r="C10" s="5"/>
      <c r="D10" s="5"/>
      <c r="E10" s="6"/>
      <c r="F10" s="6"/>
      <c r="H10">
        <v>409.2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38.25">
      <c r="A12" s="14" t="s">
        <v>190</v>
      </c>
      <c r="B12" s="11" t="s">
        <v>115</v>
      </c>
      <c r="C12" s="11" t="s">
        <v>12</v>
      </c>
      <c r="D12" s="12">
        <v>0.17</v>
      </c>
      <c r="E12" s="13">
        <v>1800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>
        <v>0.55000000000000004</v>
      </c>
      <c r="E13" s="13">
        <f>D13*12*H10</f>
        <v>2700.7200000000003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0.22</v>
      </c>
      <c r="E14" s="13">
        <v>1225.7</v>
      </c>
      <c r="F14" s="40"/>
      <c r="G14" s="117"/>
    </row>
    <row r="15" spans="1:8" ht="25.5">
      <c r="A15" s="14" t="s">
        <v>15</v>
      </c>
      <c r="B15" s="11" t="s">
        <v>115</v>
      </c>
      <c r="C15" s="11" t="s">
        <v>8</v>
      </c>
      <c r="D15" s="11">
        <v>6.35</v>
      </c>
      <c r="E15" s="13">
        <f>D15*12*H10</f>
        <v>31181.039999999994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12177.791999999999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0.46</v>
      </c>
      <c r="E17" s="13">
        <f>D17*12*H10</f>
        <v>2258.7840000000001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>D18*12*H10</f>
        <v>4812.192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0.61</v>
      </c>
      <c r="E19" s="13">
        <f>D19*H10*12</f>
        <v>2995.3440000000001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>D20*12*H10</f>
        <v>1718.6399999999996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f>D21*12*H10</f>
        <v>2602.5120000000002</v>
      </c>
      <c r="F21" s="40"/>
      <c r="G21" s="117"/>
    </row>
    <row r="22" spans="1:7" ht="25.5">
      <c r="A22" s="21" t="s">
        <v>206</v>
      </c>
      <c r="B22" s="24"/>
      <c r="C22" s="11"/>
      <c r="D22" s="22"/>
      <c r="E22" s="13">
        <v>7522.5</v>
      </c>
      <c r="F22" s="40"/>
    </row>
    <row r="23" spans="1:7" ht="19.5" thickBot="1">
      <c r="A23" s="16" t="s">
        <v>35</v>
      </c>
      <c r="B23" s="17"/>
      <c r="C23" s="17"/>
      <c r="D23" s="18"/>
      <c r="E23" s="116">
        <f>SUM(E12:E22)</f>
        <v>70995.223999999987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221" t="s">
        <v>508</v>
      </c>
      <c r="B25" s="221"/>
      <c r="C25" s="221"/>
      <c r="D25" s="221"/>
      <c r="E25" s="221"/>
      <c r="F25" s="36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221" t="s">
        <v>432</v>
      </c>
      <c r="B27" s="221"/>
      <c r="C27" s="221"/>
      <c r="D27" s="221"/>
      <c r="E27" s="221"/>
      <c r="F27" s="36"/>
    </row>
    <row r="28" spans="1:7">
      <c r="A28" s="5"/>
      <c r="B28" s="5"/>
      <c r="C28" s="5"/>
      <c r="D28" s="5"/>
      <c r="E28" s="6"/>
      <c r="F28" s="6"/>
    </row>
    <row r="29" spans="1:7" ht="27" customHeight="1">
      <c r="A29" s="221" t="s">
        <v>103</v>
      </c>
      <c r="B29" s="221"/>
      <c r="C29" s="221"/>
      <c r="D29" s="221"/>
      <c r="E29" s="221"/>
      <c r="F29" s="37"/>
    </row>
    <row r="30" spans="1:7">
      <c r="A30" s="135"/>
      <c r="B30" s="135"/>
      <c r="C30" s="135"/>
      <c r="D30" s="135"/>
      <c r="E30" s="135"/>
      <c r="F30" s="6"/>
    </row>
    <row r="31" spans="1:7" ht="28.5" customHeight="1">
      <c r="A31" s="221" t="s">
        <v>24</v>
      </c>
      <c r="B31" s="221"/>
      <c r="C31" s="221"/>
      <c r="D31" s="221"/>
      <c r="E31" s="221"/>
      <c r="F31" s="36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23" t="s">
        <v>25</v>
      </c>
      <c r="B34" s="223"/>
      <c r="C34" s="223"/>
      <c r="D34" s="223"/>
      <c r="E34" s="223"/>
      <c r="F34" s="38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220" t="s">
        <v>29</v>
      </c>
      <c r="C37" s="220"/>
      <c r="D37" s="220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1"/>
  <sheetViews>
    <sheetView topLeftCell="A7" workbookViewId="0">
      <selection activeCell="F12" sqref="F12:K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45"/>
    </row>
    <row r="2" spans="1:8" ht="36" customHeight="1">
      <c r="A2" s="225" t="s">
        <v>1</v>
      </c>
      <c r="B2" s="225"/>
      <c r="C2" s="225"/>
      <c r="D2" s="225"/>
      <c r="E2" s="225"/>
      <c r="F2" s="46"/>
    </row>
    <row r="3" spans="1:8">
      <c r="A3" s="1"/>
      <c r="B3" s="1"/>
      <c r="C3" s="1"/>
      <c r="D3" s="1"/>
      <c r="E3" s="2"/>
      <c r="F3" s="2"/>
    </row>
    <row r="4" spans="1:8" ht="15" customHeight="1">
      <c r="A4" s="42" t="s">
        <v>2</v>
      </c>
      <c r="B4" s="1"/>
      <c r="C4" s="1"/>
      <c r="D4" s="226" t="s">
        <v>209</v>
      </c>
      <c r="E4" s="226"/>
      <c r="F4" s="4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141</v>
      </c>
      <c r="B7" s="221"/>
      <c r="C7" s="221"/>
      <c r="D7" s="221"/>
      <c r="E7" s="221"/>
      <c r="F7" s="42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107</v>
      </c>
      <c r="B9" s="221"/>
      <c r="C9" s="221"/>
      <c r="D9" s="221"/>
      <c r="E9" s="221"/>
      <c r="F9" s="42"/>
    </row>
    <row r="10" spans="1:8" ht="15.75" thickBot="1">
      <c r="A10" s="5"/>
      <c r="B10" s="5"/>
      <c r="C10" s="5"/>
      <c r="D10" s="5"/>
      <c r="E10" s="6"/>
      <c r="F10" s="6"/>
      <c r="H10">
        <v>369.7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0.3</v>
      </c>
      <c r="E12" s="13">
        <v>1350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1.04</v>
      </c>
      <c r="E13" s="13">
        <f>D13*$H$10*9</f>
        <v>3460.3919999999998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0.5</v>
      </c>
      <c r="E14" s="13">
        <f>D14*$H$10*9</f>
        <v>1663.6499999999999</v>
      </c>
      <c r="F14" s="40"/>
    </row>
    <row r="15" spans="1:8" ht="42" customHeight="1">
      <c r="A15" s="14" t="s">
        <v>15</v>
      </c>
      <c r="B15" s="11" t="s">
        <v>115</v>
      </c>
      <c r="C15" s="11" t="s">
        <v>8</v>
      </c>
      <c r="D15" s="11">
        <v>9.8699999999999992</v>
      </c>
      <c r="E15" s="13">
        <f>D15*$H$10*9</f>
        <v>32840.450999999994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>D16*$H$10*9</f>
        <v>7386.6060000000007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0.52</v>
      </c>
      <c r="E17" s="13">
        <f t="shared" ref="E17:E21" si="0">D17*$H$10*9</f>
        <v>1730.1959999999999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3260.7539999999999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0.61</v>
      </c>
      <c r="E19" s="13">
        <f t="shared" si="0"/>
        <v>2029.653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 t="shared" si="0"/>
        <v>1164.5549999999998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f t="shared" si="0"/>
        <v>5356.9529999999995</v>
      </c>
      <c r="F21" s="40"/>
      <c r="G21" s="117"/>
    </row>
    <row r="22" spans="1:7" ht="19.5" thickBot="1">
      <c r="A22" s="16" t="s">
        <v>35</v>
      </c>
      <c r="B22" s="17"/>
      <c r="C22" s="17"/>
      <c r="D22" s="18"/>
      <c r="E22" s="116">
        <f>SUM(E12:E21)</f>
        <v>60243.21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3.75" customHeight="1">
      <c r="A24" s="221" t="s">
        <v>509</v>
      </c>
      <c r="B24" s="221"/>
      <c r="C24" s="221"/>
      <c r="D24" s="221"/>
      <c r="E24" s="221"/>
      <c r="F24" s="42"/>
    </row>
    <row r="25" spans="1:7">
      <c r="A25" s="5"/>
      <c r="B25" s="5"/>
      <c r="C25" s="5"/>
      <c r="D25" s="5"/>
      <c r="E25" s="6"/>
      <c r="F25" s="6"/>
    </row>
    <row r="26" spans="1:7" ht="30.75" customHeight="1">
      <c r="A26" s="221" t="s">
        <v>304</v>
      </c>
      <c r="B26" s="221"/>
      <c r="C26" s="221"/>
      <c r="D26" s="221"/>
      <c r="E26" s="221"/>
      <c r="F26" s="42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103</v>
      </c>
      <c r="B28" s="221"/>
      <c r="C28" s="221"/>
      <c r="D28" s="221"/>
      <c r="E28" s="221"/>
      <c r="F28" s="43"/>
    </row>
    <row r="29" spans="1:7">
      <c r="A29" s="128"/>
      <c r="B29" s="128"/>
      <c r="C29" s="128"/>
      <c r="D29" s="128"/>
      <c r="E29" s="128"/>
      <c r="F29" s="6"/>
    </row>
    <row r="30" spans="1:7" ht="28.5" customHeight="1">
      <c r="A30" s="221" t="s">
        <v>24</v>
      </c>
      <c r="B30" s="221"/>
      <c r="C30" s="221"/>
      <c r="D30" s="221"/>
      <c r="E30" s="221"/>
      <c r="F30" s="42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44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topLeftCell="A7" workbookViewId="0">
      <selection activeCell="F16" sqref="F16:G16"/>
    </sheetView>
  </sheetViews>
  <sheetFormatPr defaultRowHeight="15"/>
  <cols>
    <col min="1" max="1" width="31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48"/>
    </row>
    <row r="2" spans="1:8" ht="36" customHeight="1">
      <c r="A2" s="225" t="s">
        <v>1</v>
      </c>
      <c r="B2" s="225"/>
      <c r="C2" s="225"/>
      <c r="D2" s="225"/>
      <c r="E2" s="225"/>
      <c r="F2" s="49"/>
    </row>
    <row r="3" spans="1:8">
      <c r="A3" s="1"/>
      <c r="B3" s="1"/>
      <c r="C3" s="1"/>
      <c r="D3" s="1"/>
      <c r="E3" s="2"/>
      <c r="F3" s="2"/>
    </row>
    <row r="4" spans="1:8" ht="15" customHeight="1">
      <c r="A4" s="51" t="s">
        <v>2</v>
      </c>
      <c r="B4" s="1"/>
      <c r="C4" s="1"/>
      <c r="D4" s="226" t="s">
        <v>209</v>
      </c>
      <c r="E4" s="226"/>
      <c r="F4" s="5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142</v>
      </c>
      <c r="B7" s="221"/>
      <c r="C7" s="221"/>
      <c r="D7" s="221"/>
      <c r="E7" s="221"/>
      <c r="F7" s="5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52</v>
      </c>
      <c r="B9" s="221"/>
      <c r="C9" s="221"/>
      <c r="D9" s="221"/>
      <c r="E9" s="221"/>
      <c r="F9" s="51"/>
    </row>
    <row r="10" spans="1:8" ht="15.75" thickBot="1">
      <c r="A10" s="5"/>
      <c r="B10" s="5"/>
      <c r="C10" s="5"/>
      <c r="D10" s="5"/>
      <c r="E10" s="6"/>
      <c r="F10" s="6"/>
      <c r="H10">
        <v>280.5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$H$10*D12*5</f>
        <v>561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$H$10*D13*5</f>
        <v>729.30000000000007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 t="s">
        <v>294</v>
      </c>
      <c r="E14" s="13">
        <f>0.21*7*H10+1.43*5*H10</f>
        <v>2417.91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0.55*$H$10*7+0.6*5*H10</f>
        <v>1921.425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247</v>
      </c>
      <c r="E16" s="13">
        <v>1176.95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295</v>
      </c>
      <c r="E17" s="13">
        <f>7.96*7*H10+9.76*5*H10</f>
        <v>29317.86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2.48*7*H10+3.18*5*H10</f>
        <v>9329.43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 t="s">
        <v>296</v>
      </c>
      <c r="E19" s="13">
        <f>0.22*7*H10+0.58*5*H10</f>
        <v>1245.42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0.74*7*H10+0.98*5*H10</f>
        <v>2827.44</v>
      </c>
      <c r="F20" s="40"/>
    </row>
    <row r="21" spans="1:7" ht="25.5">
      <c r="A21" s="14" t="s">
        <v>109</v>
      </c>
      <c r="B21" s="11" t="s">
        <v>19</v>
      </c>
      <c r="C21" s="11" t="s">
        <v>8</v>
      </c>
      <c r="D21" s="12" t="s">
        <v>216</v>
      </c>
      <c r="E21" s="13">
        <v>5493.36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0.3*7*H10+0.35*5*H10</f>
        <v>1079.9250000000002</v>
      </c>
      <c r="F22" s="40"/>
    </row>
    <row r="23" spans="1:7" ht="25.5">
      <c r="A23" s="14" t="s">
        <v>22</v>
      </c>
      <c r="B23" s="11" t="s">
        <v>17</v>
      </c>
      <c r="C23" s="11" t="s">
        <v>8</v>
      </c>
      <c r="D23" s="11" t="s">
        <v>297</v>
      </c>
      <c r="E23" s="13">
        <f>0.53*7*H10+1.15*5*H10</f>
        <v>2653.5299999999997</v>
      </c>
      <c r="F23" s="40"/>
      <c r="G23" s="117"/>
    </row>
    <row r="24" spans="1:7" ht="38.25">
      <c r="A24" s="21" t="s">
        <v>299</v>
      </c>
      <c r="B24" s="22"/>
      <c r="C24" s="11" t="s">
        <v>8</v>
      </c>
      <c r="D24" s="22">
        <v>2.38</v>
      </c>
      <c r="E24" s="23">
        <f>D24*5*H10</f>
        <v>3337.95</v>
      </c>
      <c r="F24" s="40"/>
      <c r="G24" s="117"/>
    </row>
    <row r="25" spans="1:7">
      <c r="A25" s="21" t="s">
        <v>298</v>
      </c>
      <c r="B25" s="22"/>
      <c r="C25" s="22" t="s">
        <v>203</v>
      </c>
      <c r="D25" s="22"/>
      <c r="E25" s="23">
        <v>7126</v>
      </c>
      <c r="F25" s="40"/>
      <c r="G25" s="117"/>
    </row>
    <row r="26" spans="1:7">
      <c r="A26" s="21" t="s">
        <v>408</v>
      </c>
      <c r="B26" s="22"/>
      <c r="C26" s="22" t="s">
        <v>203</v>
      </c>
      <c r="D26" s="22"/>
      <c r="E26" s="23">
        <v>6687</v>
      </c>
      <c r="F26" s="40"/>
      <c r="G26" s="117"/>
    </row>
    <row r="27" spans="1:7" ht="19.5" thickBot="1">
      <c r="A27" s="16" t="s">
        <v>35</v>
      </c>
      <c r="B27" s="17"/>
      <c r="C27" s="17"/>
      <c r="D27" s="18"/>
      <c r="E27" s="116">
        <f>SUM(E12:E26)</f>
        <v>75904.5</v>
      </c>
      <c r="F27" s="41"/>
      <c r="G27" s="117"/>
    </row>
    <row r="28" spans="1:7">
      <c r="A28" s="5"/>
      <c r="B28" s="5"/>
      <c r="C28" s="5"/>
      <c r="D28" s="5"/>
      <c r="E28" s="6"/>
      <c r="F28" s="6"/>
    </row>
    <row r="29" spans="1:7" ht="30" customHeight="1">
      <c r="A29" s="221" t="s">
        <v>433</v>
      </c>
      <c r="B29" s="221"/>
      <c r="C29" s="221"/>
      <c r="D29" s="221"/>
      <c r="E29" s="221"/>
      <c r="F29" s="51"/>
    </row>
    <row r="30" spans="1:7">
      <c r="A30" s="140"/>
      <c r="B30" s="140"/>
      <c r="C30" s="140"/>
      <c r="D30" s="140"/>
      <c r="E30" s="141"/>
      <c r="F30" s="6"/>
    </row>
    <row r="31" spans="1:7" ht="30" customHeight="1">
      <c r="A31" s="221" t="s">
        <v>303</v>
      </c>
      <c r="B31" s="221"/>
      <c r="C31" s="221"/>
      <c r="D31" s="221"/>
      <c r="E31" s="221"/>
      <c r="F31" s="51"/>
    </row>
    <row r="32" spans="1:7">
      <c r="A32" s="5"/>
      <c r="B32" s="5"/>
      <c r="C32" s="5"/>
      <c r="D32" s="5"/>
      <c r="E32" s="6"/>
      <c r="F32" s="6"/>
    </row>
    <row r="33" spans="1:6" ht="30.75" customHeight="1">
      <c r="A33" s="221" t="s">
        <v>103</v>
      </c>
      <c r="B33" s="221"/>
      <c r="C33" s="221"/>
      <c r="D33" s="221"/>
      <c r="E33" s="221"/>
      <c r="F33" s="52"/>
    </row>
    <row r="34" spans="1:6">
      <c r="A34" s="135"/>
      <c r="B34" s="135"/>
      <c r="C34" s="135"/>
      <c r="D34" s="135"/>
      <c r="E34" s="135"/>
      <c r="F34" s="6"/>
    </row>
    <row r="35" spans="1:6" ht="28.5" customHeight="1">
      <c r="A35" s="221" t="s">
        <v>24</v>
      </c>
      <c r="B35" s="221"/>
      <c r="C35" s="221"/>
      <c r="D35" s="221"/>
      <c r="E35" s="221"/>
      <c r="F35" s="51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53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2">
    <mergeCell ref="B45:D45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5"/>
  <sheetViews>
    <sheetView topLeftCell="A16" workbookViewId="0">
      <selection activeCell="F16" sqref="F16:G21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54"/>
    </row>
    <row r="2" spans="1:8" ht="36" customHeight="1">
      <c r="A2" s="225" t="s">
        <v>1</v>
      </c>
      <c r="B2" s="225"/>
      <c r="C2" s="225"/>
      <c r="D2" s="225"/>
      <c r="E2" s="225"/>
      <c r="F2" s="55"/>
    </row>
    <row r="3" spans="1:8">
      <c r="A3" s="1"/>
      <c r="B3" s="1"/>
      <c r="C3" s="1"/>
      <c r="D3" s="1"/>
      <c r="E3" s="2"/>
      <c r="F3" s="2"/>
    </row>
    <row r="4" spans="1:8" ht="15" customHeight="1">
      <c r="A4" s="57" t="s">
        <v>2</v>
      </c>
      <c r="B4" s="1"/>
      <c r="C4" s="1"/>
      <c r="D4" s="226" t="s">
        <v>209</v>
      </c>
      <c r="E4" s="226"/>
      <c r="F4" s="5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145</v>
      </c>
      <c r="B7" s="221"/>
      <c r="C7" s="221"/>
      <c r="D7" s="221"/>
      <c r="E7" s="221"/>
      <c r="F7" s="5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53</v>
      </c>
      <c r="B9" s="221"/>
      <c r="C9" s="221"/>
      <c r="D9" s="221"/>
      <c r="E9" s="221"/>
      <c r="F9" s="57"/>
    </row>
    <row r="10" spans="1:8" ht="15.75" thickBot="1">
      <c r="A10" s="5"/>
      <c r="B10" s="5"/>
      <c r="C10" s="5"/>
      <c r="D10" s="5"/>
      <c r="E10" s="6"/>
      <c r="F10" s="6"/>
      <c r="H10">
        <v>277.10000000000002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$H$10*D12*5</f>
        <v>554.20000000000005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$H$10*D13*5</f>
        <v>720.46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301</v>
      </c>
      <c r="E14" s="13">
        <f>0.22*7*H10+1.44*H10*4</f>
        <v>2022.83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1.04*7*H10+0.6*4*H10</f>
        <v>2682.3280000000004</v>
      </c>
      <c r="F15" s="40"/>
      <c r="G15" s="117"/>
    </row>
    <row r="16" spans="1:8" ht="51">
      <c r="A16" s="14" t="s">
        <v>13</v>
      </c>
      <c r="B16" s="11" t="s">
        <v>115</v>
      </c>
      <c r="C16" s="11" t="s">
        <v>14</v>
      </c>
      <c r="D16" s="12" t="s">
        <v>247</v>
      </c>
      <c r="E16" s="13">
        <v>1180.46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300</v>
      </c>
      <c r="E17" s="13">
        <f>8.87*7*H10+11.24*4*H10</f>
        <v>29663.555</v>
      </c>
      <c r="F17" s="40"/>
      <c r="G17" s="117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2.48*7*H10+3.18*4*H10</f>
        <v>8335.1680000000015</v>
      </c>
      <c r="F18" s="40"/>
      <c r="G18" s="117"/>
    </row>
    <row r="19" spans="1:7">
      <c r="A19" s="14" t="s">
        <v>36</v>
      </c>
      <c r="B19" s="11" t="s">
        <v>115</v>
      </c>
      <c r="C19" s="11" t="s">
        <v>8</v>
      </c>
      <c r="D19" s="12">
        <v>0.48</v>
      </c>
      <c r="E19" s="13">
        <f t="shared" ref="E19" si="0">D19*$H$10*12</f>
        <v>1596.096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0.81*7*H10+0.98*4*H10</f>
        <v>2657.3890000000001</v>
      </c>
      <c r="F20" s="40"/>
      <c r="G20" s="117"/>
    </row>
    <row r="21" spans="1:7" ht="25.5">
      <c r="A21" s="14" t="s">
        <v>79</v>
      </c>
      <c r="B21" s="11" t="s">
        <v>19</v>
      </c>
      <c r="C21" s="11" t="s">
        <v>8</v>
      </c>
      <c r="D21" s="12" t="s">
        <v>216</v>
      </c>
      <c r="E21" s="13">
        <v>5426.76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217</v>
      </c>
      <c r="E22" s="13">
        <f>0.31*7*H10+0.35*4*H10</f>
        <v>989.24700000000007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297</v>
      </c>
      <c r="E23" s="13">
        <f>0.53*7*H10+1.15*4*H10</f>
        <v>2302.701</v>
      </c>
      <c r="F23" s="40"/>
      <c r="G23" s="117"/>
    </row>
    <row r="24" spans="1:7">
      <c r="A24" s="21" t="s">
        <v>298</v>
      </c>
      <c r="B24" s="22"/>
      <c r="C24" s="22" t="s">
        <v>203</v>
      </c>
      <c r="D24" s="22"/>
      <c r="E24" s="13">
        <v>2796</v>
      </c>
      <c r="F24" s="40"/>
      <c r="G24" s="117"/>
    </row>
    <row r="25" spans="1:7">
      <c r="A25" s="21" t="s">
        <v>292</v>
      </c>
      <c r="B25" s="22"/>
      <c r="C25" s="22" t="s">
        <v>203</v>
      </c>
      <c r="D25" s="22"/>
      <c r="E25" s="13">
        <v>490</v>
      </c>
      <c r="F25" s="40"/>
      <c r="G25" s="117"/>
    </row>
    <row r="26" spans="1:7" ht="19.5" thickBot="1">
      <c r="A26" s="16" t="s">
        <v>35</v>
      </c>
      <c r="B26" s="17"/>
      <c r="C26" s="17"/>
      <c r="D26" s="18"/>
      <c r="E26" s="116">
        <f>SUM(E12:E25)</f>
        <v>61417.19400000001</v>
      </c>
      <c r="F26" s="41"/>
    </row>
    <row r="27" spans="1:7">
      <c r="A27" s="5"/>
      <c r="B27" s="5"/>
      <c r="C27" s="5"/>
      <c r="D27" s="5"/>
      <c r="E27" s="6"/>
      <c r="F27" s="6"/>
    </row>
    <row r="28" spans="1:7" ht="36.75" customHeight="1">
      <c r="A28" s="221" t="s">
        <v>434</v>
      </c>
      <c r="B28" s="221"/>
      <c r="C28" s="221"/>
      <c r="D28" s="221"/>
      <c r="E28" s="221"/>
      <c r="F28" s="57"/>
    </row>
    <row r="29" spans="1:7">
      <c r="A29" s="5"/>
      <c r="B29" s="5"/>
      <c r="C29" s="5"/>
      <c r="D29" s="5"/>
      <c r="E29" s="6"/>
      <c r="F29" s="6"/>
    </row>
    <row r="30" spans="1:7" ht="31.5" customHeight="1">
      <c r="A30" s="221" t="s">
        <v>302</v>
      </c>
      <c r="B30" s="221"/>
      <c r="C30" s="221"/>
      <c r="D30" s="221"/>
      <c r="E30" s="221"/>
      <c r="F30" s="57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21" t="s">
        <v>103</v>
      </c>
      <c r="B32" s="221"/>
      <c r="C32" s="221"/>
      <c r="D32" s="221"/>
      <c r="E32" s="221"/>
      <c r="F32" s="58"/>
    </row>
    <row r="33" spans="1:6">
      <c r="A33" s="135"/>
      <c r="B33" s="135"/>
      <c r="C33" s="135"/>
      <c r="D33" s="135"/>
      <c r="E33" s="135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57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59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14" sqref="F14:G1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60"/>
    </row>
    <row r="2" spans="1:8" ht="36" customHeight="1">
      <c r="A2" s="225" t="s">
        <v>1</v>
      </c>
      <c r="B2" s="225"/>
      <c r="C2" s="225"/>
      <c r="D2" s="225"/>
      <c r="E2" s="225"/>
      <c r="F2" s="61"/>
    </row>
    <row r="3" spans="1:8">
      <c r="A3" s="1"/>
      <c r="B3" s="1"/>
      <c r="C3" s="1"/>
      <c r="D3" s="1"/>
      <c r="E3" s="2"/>
      <c r="F3" s="2"/>
    </row>
    <row r="4" spans="1:8" ht="15" customHeight="1">
      <c r="A4" s="63" t="s">
        <v>2</v>
      </c>
      <c r="B4" s="1"/>
      <c r="C4" s="1"/>
      <c r="D4" s="226" t="s">
        <v>209</v>
      </c>
      <c r="E4" s="226"/>
      <c r="F4" s="6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436</v>
      </c>
      <c r="B7" s="221"/>
      <c r="C7" s="221"/>
      <c r="D7" s="221"/>
      <c r="E7" s="221"/>
      <c r="F7" s="63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54</v>
      </c>
      <c r="B9" s="221"/>
      <c r="C9" s="221"/>
      <c r="D9" s="221"/>
      <c r="E9" s="221"/>
      <c r="F9" s="63"/>
    </row>
    <row r="10" spans="1:8" ht="15.75" thickBot="1">
      <c r="A10" s="5"/>
      <c r="B10" s="5"/>
      <c r="C10" s="5"/>
      <c r="D10" s="5"/>
      <c r="E10" s="6"/>
      <c r="F10" s="6"/>
      <c r="H10">
        <v>409.7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$H$10*D12*4</f>
        <v>655.52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$H$10*D13*4</f>
        <v>852.17600000000004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310</v>
      </c>
      <c r="E14" s="13">
        <v>1800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1.04*8*H10+0.6*4*H10</f>
        <v>4391.9840000000004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0.42</v>
      </c>
      <c r="E16" s="13">
        <f t="shared" ref="E16:E19" si="0">D16*$H$10*12</f>
        <v>2064.8879999999999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311</v>
      </c>
      <c r="E17" s="13">
        <f>6.7*8*H10+8.78*4*H10</f>
        <v>36348.583999999995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2.48*8*H10+3.18*4*H10</f>
        <v>13339.831999999999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0.26</v>
      </c>
      <c r="E19" s="13">
        <f t="shared" si="0"/>
        <v>1278.2640000000001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0.81*8*H10+0.98*4*H10</f>
        <v>4260.88</v>
      </c>
      <c r="F20" s="40"/>
    </row>
    <row r="21" spans="1:7" ht="25.5">
      <c r="A21" s="14" t="s">
        <v>20</v>
      </c>
      <c r="B21" s="11" t="s">
        <v>19</v>
      </c>
      <c r="C21" s="11" t="s">
        <v>8</v>
      </c>
      <c r="D21" s="12" t="s">
        <v>239</v>
      </c>
      <c r="E21" s="13">
        <f>0.45*8*H10+0.61*4*H10</f>
        <v>2474.5880000000002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 t="s">
        <v>217</v>
      </c>
      <c r="E22" s="13">
        <f>0.31*8*H10+0.35*4*H10</f>
        <v>1589.636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f>0.53*8*H10+1.1*4*H10</f>
        <v>3539.808</v>
      </c>
      <c r="F23" s="40"/>
      <c r="G23" s="117"/>
    </row>
    <row r="24" spans="1:7">
      <c r="A24" s="21" t="s">
        <v>312</v>
      </c>
      <c r="B24" s="22"/>
      <c r="C24" s="22" t="s">
        <v>203</v>
      </c>
      <c r="D24" s="22"/>
      <c r="E24" s="23">
        <v>528</v>
      </c>
      <c r="F24" s="40"/>
    </row>
    <row r="25" spans="1:7" ht="19.5" thickBot="1">
      <c r="A25" s="16" t="s">
        <v>35</v>
      </c>
      <c r="B25" s="17"/>
      <c r="C25" s="17"/>
      <c r="D25" s="18"/>
      <c r="E25" s="116">
        <f>SUM(E12:E24)</f>
        <v>73124.160000000003</v>
      </c>
      <c r="F25" s="41"/>
      <c r="G25" s="117">
        <f>SUM(G14:G24)</f>
        <v>0</v>
      </c>
    </row>
    <row r="26" spans="1:7">
      <c r="A26" s="5"/>
      <c r="B26" s="5"/>
      <c r="C26" s="5"/>
      <c r="D26" s="5"/>
      <c r="E26" s="6"/>
      <c r="F26" s="6"/>
    </row>
    <row r="27" spans="1:7" ht="29.25" customHeight="1">
      <c r="A27" s="221" t="s">
        <v>435</v>
      </c>
      <c r="B27" s="221"/>
      <c r="C27" s="221"/>
      <c r="D27" s="221"/>
      <c r="E27" s="221"/>
      <c r="F27" s="63"/>
    </row>
    <row r="28" spans="1:7">
      <c r="A28" s="5"/>
      <c r="B28" s="5"/>
      <c r="C28" s="5"/>
      <c r="D28" s="5"/>
      <c r="E28" s="6"/>
      <c r="F28" s="6"/>
    </row>
    <row r="29" spans="1:7" ht="30" customHeight="1">
      <c r="A29" s="221" t="s">
        <v>437</v>
      </c>
      <c r="B29" s="221"/>
      <c r="C29" s="221"/>
      <c r="D29" s="221"/>
      <c r="E29" s="221"/>
      <c r="F29" s="63"/>
    </row>
    <row r="30" spans="1:7">
      <c r="A30" s="5"/>
      <c r="B30" s="5"/>
      <c r="C30" s="5"/>
      <c r="D30" s="5"/>
      <c r="E30" s="6"/>
      <c r="F30" s="6"/>
    </row>
    <row r="31" spans="1:7" ht="31.5" customHeight="1">
      <c r="A31" s="221" t="s">
        <v>103</v>
      </c>
      <c r="B31" s="221"/>
      <c r="C31" s="221"/>
      <c r="D31" s="221"/>
      <c r="E31" s="221"/>
      <c r="F31" s="64"/>
    </row>
    <row r="32" spans="1:7">
      <c r="A32" s="135"/>
      <c r="B32" s="135"/>
      <c r="C32" s="135"/>
      <c r="D32" s="135"/>
      <c r="E32" s="135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63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65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2"/>
  <sheetViews>
    <sheetView topLeftCell="A7" workbookViewId="0">
      <selection activeCell="G14" sqref="G14:J23"/>
    </sheetView>
  </sheetViews>
  <sheetFormatPr defaultRowHeight="15"/>
  <cols>
    <col min="1" max="1" width="5.57031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0"/>
    </row>
    <row r="2" spans="1:9" ht="36" customHeight="1">
      <c r="A2" s="225" t="s">
        <v>1</v>
      </c>
      <c r="B2" s="225"/>
      <c r="C2" s="225"/>
      <c r="D2" s="225"/>
      <c r="E2" s="225"/>
      <c r="F2" s="225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226" t="s">
        <v>209</v>
      </c>
      <c r="F4" s="226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221" t="s">
        <v>146</v>
      </c>
      <c r="B7" s="221"/>
      <c r="C7" s="221"/>
      <c r="D7" s="221"/>
      <c r="E7" s="221"/>
      <c r="F7" s="221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55</v>
      </c>
      <c r="B9" s="221"/>
      <c r="C9" s="221"/>
      <c r="D9" s="221"/>
      <c r="E9" s="221"/>
      <c r="F9" s="221"/>
      <c r="G9" s="63"/>
    </row>
    <row r="10" spans="1:9" ht="15.75" thickBot="1">
      <c r="B10" s="5"/>
      <c r="C10" s="5"/>
      <c r="D10" s="5"/>
      <c r="E10" s="5"/>
      <c r="F10" s="6"/>
      <c r="G10" s="6"/>
      <c r="I10">
        <v>270.39999999999998</v>
      </c>
    </row>
    <row r="11" spans="1:9" ht="84" customHeight="1">
      <c r="A11" s="152" t="s">
        <v>112</v>
      </c>
      <c r="B11" s="147" t="s">
        <v>3</v>
      </c>
      <c r="C11" s="8" t="s">
        <v>4</v>
      </c>
      <c r="D11" s="8" t="s">
        <v>5</v>
      </c>
      <c r="E11" s="9" t="s">
        <v>6</v>
      </c>
      <c r="F11" s="10" t="s">
        <v>7</v>
      </c>
      <c r="G11" s="39"/>
    </row>
    <row r="12" spans="1:9" ht="51">
      <c r="A12" s="153">
        <v>1</v>
      </c>
      <c r="B12" s="148" t="s">
        <v>10</v>
      </c>
      <c r="C12" s="11" t="s">
        <v>115</v>
      </c>
      <c r="D12" s="11" t="s">
        <v>12</v>
      </c>
      <c r="E12" s="12">
        <v>0.45</v>
      </c>
      <c r="F12" s="13">
        <f>E12*12*I10</f>
        <v>1460.16</v>
      </c>
      <c r="G12" s="40"/>
      <c r="H12" s="117"/>
    </row>
    <row r="13" spans="1:9" ht="51">
      <c r="A13" s="153">
        <v>2</v>
      </c>
      <c r="B13" s="148" t="s">
        <v>37</v>
      </c>
      <c r="C13" s="11" t="s">
        <v>17</v>
      </c>
      <c r="D13" s="11" t="s">
        <v>8</v>
      </c>
      <c r="E13" s="12">
        <v>1.04</v>
      </c>
      <c r="F13" s="13">
        <f t="shared" ref="F13:F20" si="0">E13*$I$10*12</f>
        <v>3374.5920000000001</v>
      </c>
      <c r="G13" s="40"/>
    </row>
    <row r="14" spans="1:9" ht="51">
      <c r="A14" s="153">
        <v>3</v>
      </c>
      <c r="B14" s="148" t="s">
        <v>13</v>
      </c>
      <c r="C14" s="11" t="s">
        <v>115</v>
      </c>
      <c r="D14" s="11" t="s">
        <v>14</v>
      </c>
      <c r="E14" s="12">
        <v>0.27</v>
      </c>
      <c r="F14" s="13">
        <v>996.42</v>
      </c>
      <c r="G14" s="40"/>
      <c r="H14" s="117"/>
    </row>
    <row r="15" spans="1:9" ht="25.5">
      <c r="A15" s="153">
        <v>4</v>
      </c>
      <c r="B15" s="148" t="s">
        <v>15</v>
      </c>
      <c r="C15" s="11" t="s">
        <v>115</v>
      </c>
      <c r="D15" s="11" t="s">
        <v>8</v>
      </c>
      <c r="E15" s="11">
        <v>5.9</v>
      </c>
      <c r="F15" s="13">
        <f t="shared" si="0"/>
        <v>19144.32</v>
      </c>
      <c r="G15" s="40"/>
    </row>
    <row r="16" spans="1:9">
      <c r="A16" s="153">
        <v>5</v>
      </c>
      <c r="B16" s="148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8047.1039999999994</v>
      </c>
      <c r="G16" s="40"/>
    </row>
    <row r="17" spans="1:8">
      <c r="A17" s="153">
        <v>6</v>
      </c>
      <c r="B17" s="148" t="s">
        <v>36</v>
      </c>
      <c r="C17" s="11" t="s">
        <v>115</v>
      </c>
      <c r="D17" s="11" t="s">
        <v>8</v>
      </c>
      <c r="E17" s="12">
        <v>0.27</v>
      </c>
      <c r="F17" s="13">
        <f t="shared" si="0"/>
        <v>876.096</v>
      </c>
      <c r="G17" s="40"/>
    </row>
    <row r="18" spans="1:8" ht="25.5">
      <c r="A18" s="153">
        <v>7</v>
      </c>
      <c r="B18" s="148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3179.9039999999995</v>
      </c>
      <c r="G18" s="40"/>
    </row>
    <row r="19" spans="1:8" ht="25.5">
      <c r="A19" s="153">
        <v>8</v>
      </c>
      <c r="B19" s="148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1135.6799999999998</v>
      </c>
      <c r="G19" s="40"/>
      <c r="H19" s="117"/>
    </row>
    <row r="20" spans="1:8" ht="25.5">
      <c r="A20" s="153">
        <v>9</v>
      </c>
      <c r="B20" s="148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3569.2799999999997</v>
      </c>
      <c r="G20" s="40"/>
      <c r="H20" s="117"/>
    </row>
    <row r="21" spans="1:8">
      <c r="A21" s="188">
        <v>10</v>
      </c>
      <c r="B21" s="202" t="s">
        <v>313</v>
      </c>
      <c r="C21" s="22"/>
      <c r="D21" s="22" t="s">
        <v>203</v>
      </c>
      <c r="E21" s="22"/>
      <c r="F21" s="23">
        <v>2649</v>
      </c>
      <c r="G21" s="40"/>
      <c r="H21" s="117"/>
    </row>
    <row r="22" spans="1:8">
      <c r="A22" s="188">
        <v>11</v>
      </c>
      <c r="B22" s="202" t="s">
        <v>404</v>
      </c>
      <c r="C22" s="22"/>
      <c r="D22" s="22" t="s">
        <v>203</v>
      </c>
      <c r="E22" s="22"/>
      <c r="F22" s="23">
        <v>5805</v>
      </c>
      <c r="G22" s="40"/>
      <c r="H22" s="117"/>
    </row>
    <row r="23" spans="1:8" ht="19.5" thickBot="1">
      <c r="A23" s="192"/>
      <c r="B23" s="149" t="s">
        <v>35</v>
      </c>
      <c r="C23" s="17"/>
      <c r="D23" s="17"/>
      <c r="E23" s="18"/>
      <c r="F23" s="116">
        <f>SUM(F12:F22)</f>
        <v>50237.555999999997</v>
      </c>
      <c r="G23" s="41"/>
      <c r="H23" s="117"/>
    </row>
    <row r="24" spans="1:8">
      <c r="B24" s="5"/>
      <c r="C24" s="5"/>
      <c r="D24" s="5"/>
      <c r="E24" s="5"/>
      <c r="F24" s="6"/>
      <c r="G24" s="6"/>
    </row>
    <row r="25" spans="1:8" ht="36.75" customHeight="1">
      <c r="A25" s="221" t="s">
        <v>512</v>
      </c>
      <c r="B25" s="221"/>
      <c r="C25" s="221"/>
      <c r="D25" s="221"/>
      <c r="E25" s="221"/>
      <c r="F25" s="221"/>
      <c r="G25" s="63"/>
    </row>
    <row r="26" spans="1:8">
      <c r="A26" s="201"/>
      <c r="B26" s="140"/>
      <c r="C26" s="140"/>
      <c r="D26" s="140"/>
      <c r="E26" s="140"/>
      <c r="F26" s="141"/>
      <c r="G26" s="6"/>
    </row>
    <row r="27" spans="1:8" ht="30.75" customHeight="1">
      <c r="A27" s="221" t="s">
        <v>510</v>
      </c>
      <c r="B27" s="221"/>
      <c r="C27" s="221"/>
      <c r="D27" s="221"/>
      <c r="E27" s="221"/>
      <c r="F27" s="221"/>
      <c r="G27" s="63"/>
    </row>
    <row r="28" spans="1:8">
      <c r="A28" s="201"/>
      <c r="B28" s="140"/>
      <c r="C28" s="140"/>
      <c r="D28" s="140"/>
      <c r="E28" s="140"/>
      <c r="F28" s="141"/>
      <c r="G28" s="6"/>
    </row>
    <row r="29" spans="1:8" ht="19.5" customHeight="1">
      <c r="A29" s="221" t="s">
        <v>103</v>
      </c>
      <c r="B29" s="221"/>
      <c r="C29" s="221"/>
      <c r="D29" s="221"/>
      <c r="E29" s="221"/>
      <c r="F29" s="221"/>
      <c r="G29" s="64"/>
    </row>
    <row r="30" spans="1:8">
      <c r="B30" s="135"/>
      <c r="C30" s="135"/>
      <c r="D30" s="135"/>
      <c r="E30" s="135"/>
      <c r="F30" s="135"/>
      <c r="G30" s="6"/>
    </row>
    <row r="31" spans="1:8" ht="28.5" customHeight="1">
      <c r="A31" s="221" t="s">
        <v>24</v>
      </c>
      <c r="B31" s="221"/>
      <c r="C31" s="221"/>
      <c r="D31" s="221"/>
      <c r="E31" s="221"/>
      <c r="F31" s="221"/>
      <c r="G31" s="63"/>
    </row>
    <row r="32" spans="1:8">
      <c r="B32" s="5"/>
      <c r="C32" s="5"/>
      <c r="D32" s="5"/>
      <c r="E32" s="5"/>
      <c r="F32" s="6"/>
      <c r="G32" s="6"/>
    </row>
    <row r="33" spans="2:7">
      <c r="B33" s="5"/>
      <c r="C33" s="5"/>
      <c r="D33" s="5"/>
      <c r="E33" s="5"/>
      <c r="F33" s="6"/>
      <c r="G33" s="6"/>
    </row>
    <row r="34" spans="2:7">
      <c r="B34" s="223" t="s">
        <v>25</v>
      </c>
      <c r="C34" s="223"/>
      <c r="D34" s="223"/>
      <c r="E34" s="223"/>
      <c r="F34" s="223"/>
      <c r="G34" s="65"/>
    </row>
    <row r="35" spans="2:7">
      <c r="B35" s="5"/>
      <c r="C35" s="5"/>
      <c r="D35" s="5"/>
      <c r="E35" s="5"/>
      <c r="F35" s="6"/>
      <c r="G35" s="6"/>
    </row>
    <row r="36" spans="2:7">
      <c r="B36" s="5" t="s">
        <v>26</v>
      </c>
      <c r="C36" s="5" t="s">
        <v>27</v>
      </c>
      <c r="D36" s="5"/>
      <c r="E36" s="5"/>
      <c r="F36" s="6" t="s">
        <v>28</v>
      </c>
      <c r="G36" s="6"/>
    </row>
    <row r="37" spans="2:7">
      <c r="B37" s="5"/>
      <c r="C37" s="220" t="s">
        <v>29</v>
      </c>
      <c r="D37" s="220"/>
      <c r="E37" s="220"/>
      <c r="F37" s="6" t="s">
        <v>30</v>
      </c>
      <c r="G37" s="6"/>
    </row>
    <row r="38" spans="2:7">
      <c r="B38" s="5"/>
      <c r="C38" s="5"/>
      <c r="D38" s="5"/>
      <c r="E38" s="5"/>
      <c r="F38" s="6"/>
      <c r="G38" s="6"/>
    </row>
    <row r="39" spans="2:7">
      <c r="B39" s="5"/>
      <c r="C39" s="5"/>
      <c r="D39" s="5"/>
      <c r="E39" s="5"/>
      <c r="F39" s="6"/>
      <c r="G39" s="6"/>
    </row>
    <row r="40" spans="2:7">
      <c r="B40" s="5" t="s">
        <v>31</v>
      </c>
      <c r="C40" s="5" t="s">
        <v>27</v>
      </c>
      <c r="D40" s="5"/>
      <c r="E40" s="5"/>
      <c r="F40" s="6" t="s">
        <v>28</v>
      </c>
      <c r="G40" s="6"/>
    </row>
    <row r="41" spans="2:7">
      <c r="B41" s="5"/>
      <c r="C41" s="220" t="s">
        <v>29</v>
      </c>
      <c r="D41" s="220"/>
      <c r="E41" s="220"/>
      <c r="F41" s="6" t="s">
        <v>30</v>
      </c>
      <c r="G41" s="6"/>
    </row>
    <row r="42" spans="2:7">
      <c r="B42" s="5"/>
      <c r="C42" s="5"/>
      <c r="D42" s="5"/>
      <c r="E42" s="5"/>
      <c r="F42" s="6"/>
      <c r="G42" s="6"/>
    </row>
  </sheetData>
  <mergeCells count="12">
    <mergeCell ref="A1:F1"/>
    <mergeCell ref="A2:F2"/>
    <mergeCell ref="A7:F7"/>
    <mergeCell ref="A9:F9"/>
    <mergeCell ref="C41:E41"/>
    <mergeCell ref="E4:F4"/>
    <mergeCell ref="B34:F34"/>
    <mergeCell ref="C37:E37"/>
    <mergeCell ref="A25:F25"/>
    <mergeCell ref="A27:F27"/>
    <mergeCell ref="A29:F29"/>
    <mergeCell ref="A31:F31"/>
  </mergeCells>
  <pageMargins left="0.24" right="0.21" top="0.4" bottom="0.32" header="0.3" footer="0.2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I1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0"/>
    </row>
    <row r="2" spans="1:9" ht="36" customHeight="1">
      <c r="A2" s="225" t="s">
        <v>1</v>
      </c>
      <c r="B2" s="225"/>
      <c r="C2" s="225"/>
      <c r="D2" s="225"/>
      <c r="E2" s="225"/>
      <c r="F2" s="225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226" t="s">
        <v>209</v>
      </c>
      <c r="F4" s="226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" customHeight="1">
      <c r="A7" s="221" t="s">
        <v>147</v>
      </c>
      <c r="B7" s="221"/>
      <c r="C7" s="221"/>
      <c r="D7" s="221"/>
      <c r="E7" s="221"/>
      <c r="F7" s="221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56</v>
      </c>
      <c r="B9" s="221"/>
      <c r="C9" s="221"/>
      <c r="D9" s="221"/>
      <c r="E9" s="221"/>
      <c r="F9" s="221"/>
      <c r="G9" s="63"/>
    </row>
    <row r="10" spans="1:9" ht="15.75" thickBot="1">
      <c r="B10" s="5"/>
      <c r="C10" s="5"/>
      <c r="D10" s="5"/>
      <c r="E10" s="5"/>
      <c r="F10" s="6"/>
      <c r="G10" s="6"/>
      <c r="I10">
        <v>281.10000000000002</v>
      </c>
    </row>
    <row r="11" spans="1:9" ht="79.5" customHeight="1">
      <c r="A11" s="152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0.43</v>
      </c>
      <c r="F12" s="13">
        <v>1500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1.04</v>
      </c>
      <c r="F13" s="13">
        <f t="shared" ref="F13:F20" si="0">E13*$I$10*12</f>
        <v>3508.1280000000006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0.27</v>
      </c>
      <c r="F14" s="13">
        <v>996.42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5.36</v>
      </c>
      <c r="F15" s="13">
        <f t="shared" si="0"/>
        <v>18080.352000000003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8365.5360000000001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0.25</v>
      </c>
      <c r="F17" s="13">
        <f t="shared" si="0"/>
        <v>843.30000000000007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3305.7359999999999</v>
      </c>
      <c r="G18" s="40"/>
    </row>
    <row r="19" spans="1:8" ht="25.5">
      <c r="A19" s="153">
        <v>8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1180.6200000000001</v>
      </c>
      <c r="G19" s="40"/>
      <c r="H19" s="117"/>
    </row>
    <row r="20" spans="1:8" ht="25.5">
      <c r="A20" s="153">
        <v>9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3710.5200000000004</v>
      </c>
      <c r="G20" s="40"/>
      <c r="H20" s="117"/>
    </row>
    <row r="21" spans="1:8">
      <c r="A21" s="188">
        <v>10</v>
      </c>
      <c r="B21" s="202" t="s">
        <v>404</v>
      </c>
      <c r="C21" s="22"/>
      <c r="D21" s="22" t="s">
        <v>203</v>
      </c>
      <c r="E21" s="22"/>
      <c r="F21" s="23">
        <v>5805</v>
      </c>
      <c r="G21" s="40"/>
      <c r="H21" s="117"/>
    </row>
    <row r="22" spans="1:8" ht="19.5" thickBot="1">
      <c r="A22" s="193"/>
      <c r="B22" s="17" t="s">
        <v>35</v>
      </c>
      <c r="C22" s="17"/>
      <c r="D22" s="17"/>
      <c r="E22" s="18"/>
      <c r="F22" s="116">
        <f>SUM(F12:F21)</f>
        <v>47295.612000000008</v>
      </c>
      <c r="G22" s="41"/>
      <c r="H22" s="117"/>
    </row>
    <row r="23" spans="1:8">
      <c r="A23" s="150"/>
      <c r="B23" s="5"/>
      <c r="C23" s="5"/>
      <c r="D23" s="5"/>
      <c r="E23" s="5"/>
      <c r="F23" s="6"/>
      <c r="G23" s="6"/>
    </row>
    <row r="24" spans="1:8" ht="31.5" customHeight="1">
      <c r="A24" s="221" t="s">
        <v>511</v>
      </c>
      <c r="B24" s="221"/>
      <c r="C24" s="221"/>
      <c r="D24" s="221"/>
      <c r="E24" s="221"/>
      <c r="F24" s="221"/>
      <c r="G24" s="63"/>
    </row>
    <row r="25" spans="1:8">
      <c r="A25" s="201"/>
      <c r="B25" s="140"/>
      <c r="C25" s="140"/>
      <c r="D25" s="140"/>
      <c r="E25" s="140"/>
      <c r="F25" s="141"/>
      <c r="G25" s="6"/>
    </row>
    <row r="26" spans="1:8" ht="31.5" customHeight="1">
      <c r="A26" s="221" t="s">
        <v>438</v>
      </c>
      <c r="B26" s="221"/>
      <c r="C26" s="221"/>
      <c r="D26" s="221"/>
      <c r="E26" s="221"/>
      <c r="F26" s="221"/>
      <c r="G26" s="63"/>
    </row>
    <row r="27" spans="1:8">
      <c r="B27" s="5"/>
      <c r="C27" s="5"/>
      <c r="D27" s="5"/>
      <c r="E27" s="5"/>
      <c r="F27" s="6"/>
      <c r="G27" s="6"/>
    </row>
    <row r="28" spans="1:8" ht="14.25" customHeight="1">
      <c r="A28" s="221" t="s">
        <v>103</v>
      </c>
      <c r="B28" s="221"/>
      <c r="C28" s="221"/>
      <c r="D28" s="221"/>
      <c r="E28" s="221"/>
      <c r="F28" s="221"/>
      <c r="G28" s="64"/>
    </row>
    <row r="29" spans="1:8" ht="14.25" customHeight="1">
      <c r="B29" s="135"/>
      <c r="C29" s="135"/>
      <c r="D29" s="135"/>
      <c r="E29" s="135"/>
      <c r="F29" s="135"/>
      <c r="G29" s="6"/>
    </row>
    <row r="30" spans="1:8" ht="28.5" customHeight="1">
      <c r="A30" s="221" t="s">
        <v>24</v>
      </c>
      <c r="B30" s="221"/>
      <c r="C30" s="221"/>
      <c r="D30" s="221"/>
      <c r="E30" s="221"/>
      <c r="F30" s="221"/>
      <c r="G30" s="63"/>
    </row>
    <row r="31" spans="1:8" ht="8.25" customHeight="1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23" t="s">
        <v>25</v>
      </c>
      <c r="C33" s="223"/>
      <c r="D33" s="223"/>
      <c r="E33" s="223"/>
      <c r="F33" s="223"/>
      <c r="G33" s="65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220" t="s">
        <v>29</v>
      </c>
      <c r="D36" s="220"/>
      <c r="E36" s="220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220" t="s">
        <v>29</v>
      </c>
      <c r="D40" s="220"/>
      <c r="E40" s="220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A1:F1"/>
    <mergeCell ref="A2:F2"/>
    <mergeCell ref="A7:F7"/>
    <mergeCell ref="A9:F9"/>
    <mergeCell ref="C40:E40"/>
    <mergeCell ref="E4:F4"/>
    <mergeCell ref="B33:F33"/>
    <mergeCell ref="C36:E36"/>
    <mergeCell ref="A24:F24"/>
    <mergeCell ref="A26:F26"/>
    <mergeCell ref="A28:F28"/>
    <mergeCell ref="A30:F30"/>
  </mergeCells>
  <pageMargins left="0.24" right="0.21" top="0.4" bottom="0.32" header="0.3" footer="0.2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topLeftCell="A7" workbookViewId="0">
      <selection activeCell="G12" sqref="G12:I1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0"/>
    </row>
    <row r="2" spans="1:9" ht="36" customHeight="1">
      <c r="A2" s="225" t="s">
        <v>1</v>
      </c>
      <c r="B2" s="225"/>
      <c r="C2" s="225"/>
      <c r="D2" s="225"/>
      <c r="E2" s="225"/>
      <c r="F2" s="225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226" t="s">
        <v>209</v>
      </c>
      <c r="F4" s="226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.75" customHeight="1">
      <c r="A7" s="221" t="s">
        <v>148</v>
      </c>
      <c r="B7" s="221"/>
      <c r="C7" s="221"/>
      <c r="D7" s="221"/>
      <c r="E7" s="221"/>
      <c r="F7" s="221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57</v>
      </c>
      <c r="B9" s="221"/>
      <c r="C9" s="221"/>
      <c r="D9" s="221"/>
      <c r="E9" s="221"/>
      <c r="F9" s="221"/>
      <c r="G9" s="63"/>
    </row>
    <row r="10" spans="1:9" ht="15.75" thickBot="1">
      <c r="B10" s="5"/>
      <c r="C10" s="5"/>
      <c r="D10" s="5"/>
      <c r="E10" s="5"/>
      <c r="F10" s="6"/>
      <c r="G10" s="6"/>
      <c r="I10">
        <v>270.8</v>
      </c>
    </row>
    <row r="11" spans="1:9" ht="81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0.69</v>
      </c>
      <c r="F12" s="13">
        <v>2250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1.04</v>
      </c>
      <c r="F13" s="13">
        <f t="shared" ref="F13:F20" si="0">E13*$I$10*12</f>
        <v>3379.5839999999998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0.31</v>
      </c>
      <c r="F14" s="13">
        <v>996.42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5.25</v>
      </c>
      <c r="F15" s="13">
        <f t="shared" si="0"/>
        <v>17060.400000000001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8059.0080000000007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0.28000000000000003</v>
      </c>
      <c r="F17" s="13">
        <f t="shared" si="0"/>
        <v>909.88800000000015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3184.6080000000002</v>
      </c>
      <c r="G18" s="40"/>
    </row>
    <row r="19" spans="1:8" ht="25.5">
      <c r="A19" s="153">
        <v>8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1137.3600000000001</v>
      </c>
      <c r="G19" s="40"/>
      <c r="H19" s="117"/>
    </row>
    <row r="20" spans="1:8" ht="25.5">
      <c r="A20" s="153">
        <v>9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3574.5600000000004</v>
      </c>
      <c r="G20" s="40"/>
      <c r="H20" s="117"/>
    </row>
    <row r="21" spans="1:8" ht="19.5" thickBot="1">
      <c r="A21" s="154"/>
      <c r="B21" s="17" t="s">
        <v>35</v>
      </c>
      <c r="C21" s="17"/>
      <c r="D21" s="17"/>
      <c r="E21" s="18"/>
      <c r="F21" s="116">
        <f>SUM(F12:F20)</f>
        <v>40551.828000000001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3.75" customHeight="1">
      <c r="A23" s="221" t="s">
        <v>513</v>
      </c>
      <c r="B23" s="221"/>
      <c r="C23" s="221"/>
      <c r="D23" s="221"/>
      <c r="E23" s="221"/>
      <c r="F23" s="221"/>
      <c r="G23" s="63"/>
    </row>
    <row r="24" spans="1:8">
      <c r="A24" s="201"/>
      <c r="B24" s="140"/>
      <c r="C24" s="140"/>
      <c r="D24" s="140"/>
      <c r="E24" s="140"/>
      <c r="F24" s="141"/>
      <c r="G24" s="6"/>
    </row>
    <row r="25" spans="1:8" ht="33" customHeight="1">
      <c r="A25" s="221" t="s">
        <v>439</v>
      </c>
      <c r="B25" s="221"/>
      <c r="C25" s="221"/>
      <c r="D25" s="221"/>
      <c r="E25" s="221"/>
      <c r="F25" s="221"/>
      <c r="G25" s="63"/>
    </row>
    <row r="26" spans="1:8">
      <c r="B26" s="5"/>
      <c r="C26" s="5"/>
      <c r="D26" s="5"/>
      <c r="E26" s="5"/>
      <c r="F26" s="6"/>
      <c r="G26" s="6"/>
    </row>
    <row r="27" spans="1:8" ht="15.75" customHeight="1">
      <c r="A27" s="221" t="s">
        <v>103</v>
      </c>
      <c r="B27" s="221"/>
      <c r="C27" s="221"/>
      <c r="D27" s="221"/>
      <c r="E27" s="221"/>
      <c r="F27" s="221"/>
      <c r="G27" s="64"/>
    </row>
    <row r="28" spans="1:8">
      <c r="B28" s="135"/>
      <c r="C28" s="135"/>
      <c r="D28" s="135"/>
      <c r="E28" s="135"/>
      <c r="F28" s="135"/>
      <c r="G28" s="6"/>
    </row>
    <row r="29" spans="1:8" ht="28.5" customHeight="1">
      <c r="A29" s="221" t="s">
        <v>24</v>
      </c>
      <c r="B29" s="221"/>
      <c r="C29" s="221"/>
      <c r="D29" s="221"/>
      <c r="E29" s="221"/>
      <c r="F29" s="221"/>
      <c r="G29" s="63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23" t="s">
        <v>25</v>
      </c>
      <c r="C32" s="223"/>
      <c r="D32" s="223"/>
      <c r="E32" s="223"/>
      <c r="F32" s="223"/>
      <c r="G32" s="65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220" t="s">
        <v>29</v>
      </c>
      <c r="D35" s="220"/>
      <c r="E35" s="220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220" t="s">
        <v>29</v>
      </c>
      <c r="D39" s="220"/>
      <c r="E39" s="220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A1:F1"/>
    <mergeCell ref="A7:F7"/>
    <mergeCell ref="A9:F9"/>
    <mergeCell ref="A23:F23"/>
    <mergeCell ref="A25:F25"/>
    <mergeCell ref="C39:E39"/>
    <mergeCell ref="E4:F4"/>
    <mergeCell ref="B32:F32"/>
    <mergeCell ref="C35:E35"/>
    <mergeCell ref="A2:F2"/>
    <mergeCell ref="A27:F27"/>
    <mergeCell ref="A29:F29"/>
  </mergeCells>
  <pageMargins left="0.24" right="0.21" top="0.4" bottom="0.32" header="0.3" footer="0.2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4" sqref="G14:H15"/>
    </sheetView>
  </sheetViews>
  <sheetFormatPr defaultRowHeight="15"/>
  <cols>
    <col min="1" max="1" width="5.855468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221" t="s">
        <v>149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58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323.10000000000002</v>
      </c>
    </row>
    <row r="11" spans="1:9" ht="84.75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0.38</v>
      </c>
      <c r="F12" s="13">
        <f t="shared" ref="F12:F20" si="0">E12*$I$10*12</f>
        <v>1473.336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0.55000000000000004</v>
      </c>
      <c r="F13" s="13">
        <f t="shared" si="0"/>
        <v>2132.4600000000005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0.27</v>
      </c>
      <c r="F14" s="13">
        <v>996.42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3.6</v>
      </c>
      <c r="F15" s="13">
        <f t="shared" si="0"/>
        <v>13957.920000000002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9615.4560000000001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0.23</v>
      </c>
      <c r="F17" s="13">
        <f t="shared" si="0"/>
        <v>891.75600000000009</v>
      </c>
      <c r="G17" s="40"/>
      <c r="H17" s="117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3799.6560000000004</v>
      </c>
      <c r="G18" s="40"/>
    </row>
    <row r="19" spans="1:8" ht="25.5">
      <c r="A19" s="153">
        <v>8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1357.02</v>
      </c>
      <c r="G19" s="40"/>
      <c r="H19" s="117"/>
    </row>
    <row r="20" spans="1:8" ht="25.5">
      <c r="A20" s="153">
        <v>9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4264.920000000001</v>
      </c>
      <c r="G20" s="40"/>
      <c r="H20" s="117"/>
    </row>
    <row r="21" spans="1:8">
      <c r="A21" s="188">
        <v>10</v>
      </c>
      <c r="B21" s="202" t="s">
        <v>404</v>
      </c>
      <c r="C21" s="22"/>
      <c r="D21" s="22"/>
      <c r="E21" s="22"/>
      <c r="F21" s="23">
        <v>5576</v>
      </c>
      <c r="G21" s="40"/>
      <c r="H21" s="117"/>
    </row>
    <row r="22" spans="1:8" ht="19.5" thickBot="1">
      <c r="A22" s="154"/>
      <c r="B22" s="17" t="s">
        <v>35</v>
      </c>
      <c r="C22" s="17"/>
      <c r="D22" s="17"/>
      <c r="E22" s="18"/>
      <c r="F22" s="116">
        <f>SUM(F12:F21)</f>
        <v>44064.944000000003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6.75" customHeight="1">
      <c r="A24" s="221" t="s">
        <v>514</v>
      </c>
      <c r="B24" s="221"/>
      <c r="C24" s="221"/>
      <c r="D24" s="221"/>
      <c r="E24" s="221"/>
      <c r="F24" s="221"/>
      <c r="G24" s="69"/>
    </row>
    <row r="25" spans="1:8">
      <c r="A25" s="201"/>
      <c r="B25" s="140"/>
      <c r="C25" s="140"/>
      <c r="D25" s="140"/>
      <c r="E25" s="140"/>
      <c r="F25" s="141"/>
      <c r="G25" s="6"/>
    </row>
    <row r="26" spans="1:8" ht="33" customHeight="1">
      <c r="A26" s="221" t="s">
        <v>440</v>
      </c>
      <c r="B26" s="221"/>
      <c r="C26" s="221"/>
      <c r="D26" s="221"/>
      <c r="E26" s="221"/>
      <c r="F26" s="221"/>
      <c r="G26" s="69"/>
    </row>
    <row r="27" spans="1:8">
      <c r="B27" s="5"/>
      <c r="C27" s="5"/>
      <c r="D27" s="5"/>
      <c r="E27" s="5"/>
      <c r="F27" s="6"/>
      <c r="G27" s="6"/>
    </row>
    <row r="28" spans="1:8" ht="18.75" customHeight="1">
      <c r="A28" s="221" t="s">
        <v>103</v>
      </c>
      <c r="B28" s="221"/>
      <c r="C28" s="221"/>
      <c r="D28" s="221"/>
      <c r="E28" s="221"/>
      <c r="F28" s="221"/>
      <c r="G28" s="70"/>
    </row>
    <row r="29" spans="1:8">
      <c r="B29" s="135"/>
      <c r="C29" s="135"/>
      <c r="D29" s="135"/>
      <c r="E29" s="135"/>
      <c r="F29" s="135"/>
      <c r="G29" s="6"/>
    </row>
    <row r="30" spans="1:8" ht="28.5" customHeight="1">
      <c r="A30" s="221" t="s">
        <v>24</v>
      </c>
      <c r="B30" s="221"/>
      <c r="C30" s="221"/>
      <c r="D30" s="221"/>
      <c r="E30" s="221"/>
      <c r="F30" s="221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23" t="s">
        <v>25</v>
      </c>
      <c r="C33" s="223"/>
      <c r="D33" s="223"/>
      <c r="E33" s="223"/>
      <c r="F33" s="223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220" t="s">
        <v>29</v>
      </c>
      <c r="D36" s="220"/>
      <c r="E36" s="220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220" t="s">
        <v>29</v>
      </c>
      <c r="D40" s="220"/>
      <c r="E40" s="220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A1:F1"/>
    <mergeCell ref="A2:F2"/>
    <mergeCell ref="A7:F7"/>
    <mergeCell ref="A9:F9"/>
    <mergeCell ref="A24:F24"/>
    <mergeCell ref="C40:E40"/>
    <mergeCell ref="E4:F4"/>
    <mergeCell ref="B33:F33"/>
    <mergeCell ref="C36:E36"/>
    <mergeCell ref="A26:F26"/>
    <mergeCell ref="A28:F28"/>
    <mergeCell ref="A30:F30"/>
  </mergeCells>
  <pageMargins left="0.24" right="0.21" top="0.4" bottom="0.32" header="0.3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13" workbookViewId="0">
      <selection activeCell="E28" sqref="E28"/>
    </sheetView>
  </sheetViews>
  <sheetFormatPr defaultRowHeight="15"/>
  <cols>
    <col min="1" max="1" width="30.1406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>
      <c r="A4" s="194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21" t="s">
        <v>221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222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1188.2</v>
      </c>
    </row>
    <row r="11" spans="1:7" ht="84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</row>
    <row r="12" spans="1:7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0.4*10*G10</f>
        <v>4752.8</v>
      </c>
    </row>
    <row r="13" spans="1:7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D13*10*G10</f>
        <v>6178.64</v>
      </c>
    </row>
    <row r="14" spans="1:7" ht="51">
      <c r="A14" s="14" t="s">
        <v>37</v>
      </c>
      <c r="B14" s="12" t="s">
        <v>137</v>
      </c>
      <c r="C14" s="11" t="s">
        <v>8</v>
      </c>
      <c r="D14" s="12">
        <v>1.04</v>
      </c>
      <c r="E14" s="13">
        <f>D14*12*G10</f>
        <v>14828.736000000001</v>
      </c>
    </row>
    <row r="15" spans="1:7" ht="30.75" customHeight="1">
      <c r="A15" s="14" t="s">
        <v>15</v>
      </c>
      <c r="B15" s="11" t="s">
        <v>115</v>
      </c>
      <c r="C15" s="11" t="s">
        <v>8</v>
      </c>
      <c r="D15" s="11" t="s">
        <v>223</v>
      </c>
      <c r="E15" s="13">
        <f>4.35*$G$10*2+5.98*G10*10</f>
        <v>81391.7</v>
      </c>
    </row>
    <row r="16" spans="1:7">
      <c r="A16" s="14" t="s">
        <v>36</v>
      </c>
      <c r="B16" s="11" t="s">
        <v>115</v>
      </c>
      <c r="C16" s="11" t="s">
        <v>8</v>
      </c>
      <c r="D16" s="12" t="s">
        <v>224</v>
      </c>
      <c r="E16" s="13">
        <f>0.05*$G$10*2+0.07*G10*10</f>
        <v>950.56000000000006</v>
      </c>
    </row>
    <row r="17" spans="1:10">
      <c r="A17" s="14" t="s">
        <v>32</v>
      </c>
      <c r="B17" s="11" t="s">
        <v>17</v>
      </c>
      <c r="C17" s="11" t="s">
        <v>8</v>
      </c>
      <c r="D17" s="12" t="s">
        <v>225</v>
      </c>
      <c r="E17" s="13">
        <f>2.22*$G$10*2+3.48*10*G10</f>
        <v>46624.968000000001</v>
      </c>
    </row>
    <row r="18" spans="1:10" ht="25.5">
      <c r="A18" s="14" t="s">
        <v>18</v>
      </c>
      <c r="B18" s="11" t="s">
        <v>19</v>
      </c>
      <c r="C18" s="11" t="s">
        <v>8</v>
      </c>
      <c r="D18" s="12" t="s">
        <v>189</v>
      </c>
      <c r="E18" s="13">
        <f>0.74*$G$10*2+0.98*10*G10</f>
        <v>13402.896000000001</v>
      </c>
    </row>
    <row r="19" spans="1:10" ht="25.5">
      <c r="A19" s="14" t="s">
        <v>106</v>
      </c>
      <c r="B19" s="11" t="s">
        <v>19</v>
      </c>
      <c r="C19" s="11" t="s">
        <v>8</v>
      </c>
      <c r="D19" s="12" t="s">
        <v>226</v>
      </c>
      <c r="E19" s="13">
        <f>0.41*2*G10+0.5*10*G10</f>
        <v>6915.3239999999996</v>
      </c>
    </row>
    <row r="20" spans="1:10" ht="25.5">
      <c r="A20" s="14" t="s">
        <v>21</v>
      </c>
      <c r="B20" s="11" t="s">
        <v>19</v>
      </c>
      <c r="C20" s="11" t="s">
        <v>8</v>
      </c>
      <c r="D20" s="11" t="s">
        <v>217</v>
      </c>
      <c r="E20" s="13">
        <f>0.31*$G$10*2+0.35*10*G10</f>
        <v>4895.384</v>
      </c>
    </row>
    <row r="21" spans="1:10" ht="25.5">
      <c r="A21" s="14" t="s">
        <v>22</v>
      </c>
      <c r="B21" s="11" t="s">
        <v>17</v>
      </c>
      <c r="C21" s="11" t="s">
        <v>8</v>
      </c>
      <c r="D21" s="11" t="s">
        <v>227</v>
      </c>
      <c r="E21" s="13">
        <f>2.41*$G$10*2+1.45*10*G10</f>
        <v>22956.024000000001</v>
      </c>
      <c r="J21" s="117"/>
    </row>
    <row r="22" spans="1:10" ht="25.5">
      <c r="A22" s="14" t="s">
        <v>318</v>
      </c>
      <c r="B22" s="11"/>
      <c r="C22" s="11" t="s">
        <v>203</v>
      </c>
      <c r="D22" s="11"/>
      <c r="E22" s="13">
        <v>4645.42</v>
      </c>
      <c r="J22" s="117"/>
    </row>
    <row r="23" spans="1:10" ht="25.5">
      <c r="A23" s="14" t="s">
        <v>319</v>
      </c>
      <c r="B23" s="11"/>
      <c r="C23" s="11" t="s">
        <v>203</v>
      </c>
      <c r="D23" s="11"/>
      <c r="E23" s="13">
        <v>1035.42</v>
      </c>
      <c r="J23" s="117"/>
    </row>
    <row r="24" spans="1:10">
      <c r="A24" s="14" t="s">
        <v>232</v>
      </c>
      <c r="B24" s="11"/>
      <c r="C24" s="11" t="s">
        <v>203</v>
      </c>
      <c r="D24" s="11"/>
      <c r="E24" s="13">
        <v>5041</v>
      </c>
      <c r="J24" s="117"/>
    </row>
    <row r="25" spans="1:10">
      <c r="A25" s="14" t="s">
        <v>233</v>
      </c>
      <c r="B25" s="11"/>
      <c r="C25" s="11" t="s">
        <v>203</v>
      </c>
      <c r="D25" s="11"/>
      <c r="E25" s="13">
        <v>2419</v>
      </c>
    </row>
    <row r="26" spans="1:10">
      <c r="A26" s="21" t="s">
        <v>405</v>
      </c>
      <c r="B26" s="22"/>
      <c r="C26" s="11" t="s">
        <v>203</v>
      </c>
      <c r="D26" s="22"/>
      <c r="E26" s="23">
        <v>12267</v>
      </c>
    </row>
    <row r="27" spans="1:10" ht="19.5" thickBot="1">
      <c r="A27" s="16" t="s">
        <v>23</v>
      </c>
      <c r="B27" s="17"/>
      <c r="C27" s="17"/>
      <c r="D27" s="18"/>
      <c r="E27" s="19">
        <f>SUM(E12:E26)</f>
        <v>228304.872</v>
      </c>
    </row>
    <row r="28" spans="1:10">
      <c r="A28" s="5"/>
      <c r="B28" s="5"/>
      <c r="C28" s="5"/>
      <c r="D28" s="5"/>
      <c r="E28" s="6"/>
    </row>
    <row r="29" spans="1:10" ht="36.75" customHeight="1">
      <c r="A29" s="221" t="s">
        <v>419</v>
      </c>
      <c r="B29" s="221"/>
      <c r="C29" s="221"/>
      <c r="D29" s="221"/>
      <c r="E29" s="221"/>
    </row>
    <row r="30" spans="1:10">
      <c r="A30" s="140"/>
      <c r="B30" s="140"/>
      <c r="C30" s="140"/>
      <c r="D30" s="140"/>
      <c r="E30" s="141"/>
    </row>
    <row r="31" spans="1:10" ht="33" customHeight="1">
      <c r="A31" s="221" t="s">
        <v>307</v>
      </c>
      <c r="B31" s="221"/>
      <c r="C31" s="221"/>
      <c r="D31" s="221"/>
      <c r="E31" s="221"/>
      <c r="H31">
        <f>877.9+2633.7</f>
        <v>3511.6</v>
      </c>
    </row>
    <row r="32" spans="1:10">
      <c r="A32" s="198"/>
      <c r="B32" s="198"/>
      <c r="C32" s="198"/>
      <c r="D32" s="198"/>
      <c r="E32" s="198"/>
    </row>
    <row r="33" spans="1:5" ht="14.25" customHeight="1">
      <c r="A33" s="221" t="s">
        <v>103</v>
      </c>
      <c r="B33" s="221"/>
      <c r="C33" s="221"/>
      <c r="D33" s="221"/>
      <c r="E33" s="221"/>
    </row>
    <row r="34" spans="1:5">
      <c r="A34" s="5"/>
      <c r="B34" s="5"/>
      <c r="C34" s="5"/>
      <c r="D34" s="5"/>
      <c r="E34" s="6"/>
    </row>
    <row r="35" spans="1:5">
      <c r="A35" s="222" t="s">
        <v>49</v>
      </c>
      <c r="B35" s="222"/>
      <c r="C35" s="222"/>
      <c r="D35" s="222"/>
      <c r="E35" s="222"/>
    </row>
    <row r="36" spans="1:5">
      <c r="A36" s="5"/>
      <c r="B36" s="5"/>
      <c r="C36" s="5"/>
      <c r="D36" s="5"/>
      <c r="E36" s="6"/>
    </row>
    <row r="37" spans="1:5" ht="28.5" customHeight="1">
      <c r="A37" s="221" t="s">
        <v>24</v>
      </c>
      <c r="B37" s="221"/>
      <c r="C37" s="221"/>
      <c r="D37" s="221"/>
      <c r="E37" s="221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23" t="s">
        <v>25</v>
      </c>
      <c r="B40" s="223"/>
      <c r="C40" s="223"/>
      <c r="D40" s="223"/>
      <c r="E40" s="223"/>
    </row>
    <row r="41" spans="1:5">
      <c r="A41" s="5"/>
      <c r="B41" s="5"/>
      <c r="C41" s="5"/>
      <c r="D41" s="5"/>
      <c r="E41" s="6"/>
    </row>
    <row r="42" spans="1:5">
      <c r="A42" s="5" t="s">
        <v>26</v>
      </c>
      <c r="B42" s="5" t="s">
        <v>27</v>
      </c>
      <c r="C42" s="5"/>
      <c r="D42" s="5"/>
      <c r="E42" s="6" t="s">
        <v>28</v>
      </c>
    </row>
    <row r="43" spans="1:5">
      <c r="A43" s="5"/>
      <c r="B43" s="220" t="s">
        <v>29</v>
      </c>
      <c r="C43" s="220"/>
      <c r="D43" s="220"/>
      <c r="E43" s="6" t="s">
        <v>30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31</v>
      </c>
      <c r="B46" s="5" t="s">
        <v>27</v>
      </c>
      <c r="C46" s="5"/>
      <c r="D46" s="5"/>
      <c r="E46" s="6" t="s">
        <v>28</v>
      </c>
    </row>
    <row r="47" spans="1:5">
      <c r="A47" s="5"/>
      <c r="B47" s="220" t="s">
        <v>29</v>
      </c>
      <c r="C47" s="220"/>
      <c r="D47" s="220"/>
      <c r="E47" s="6" t="s">
        <v>30</v>
      </c>
    </row>
    <row r="48" spans="1:5">
      <c r="A48" s="5"/>
      <c r="B48" s="5"/>
      <c r="C48" s="5"/>
      <c r="D48" s="5"/>
      <c r="E48" s="6"/>
    </row>
  </sheetData>
  <mergeCells count="13">
    <mergeCell ref="B47:D47"/>
    <mergeCell ref="A31:E31"/>
    <mergeCell ref="A33:E33"/>
    <mergeCell ref="A35:E35"/>
    <mergeCell ref="A37:E37"/>
    <mergeCell ref="A40:E40"/>
    <mergeCell ref="B43:D43"/>
    <mergeCell ref="A29:E29"/>
    <mergeCell ref="A1:E1"/>
    <mergeCell ref="A2:E2"/>
    <mergeCell ref="D4:E4"/>
    <mergeCell ref="A7:E7"/>
    <mergeCell ref="A9:E9"/>
  </mergeCells>
  <pageMargins left="0.24" right="0.21" top="0.24" bottom="0.22" header="0.16" footer="0.16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G12" sqref="G12:H1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2.25" customHeight="1">
      <c r="A7" s="221" t="s">
        <v>150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59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265.89999999999998</v>
      </c>
    </row>
    <row r="11" spans="1:9" ht="84.75" customHeight="1">
      <c r="A11" s="155" t="s">
        <v>112</v>
      </c>
      <c r="B11" s="7" t="s">
        <v>3</v>
      </c>
      <c r="C11" s="8" t="s">
        <v>4</v>
      </c>
      <c r="D11" s="8" t="s">
        <v>5</v>
      </c>
      <c r="E11" s="9" t="s">
        <v>6</v>
      </c>
      <c r="F11" s="10" t="s">
        <v>7</v>
      </c>
      <c r="G11" s="39"/>
    </row>
    <row r="12" spans="1:9" ht="51">
      <c r="A12" s="153">
        <v>1</v>
      </c>
      <c r="B12" s="14" t="s">
        <v>10</v>
      </c>
      <c r="C12" s="11" t="s">
        <v>115</v>
      </c>
      <c r="D12" s="11" t="s">
        <v>12</v>
      </c>
      <c r="E12" s="12">
        <v>0.56000000000000005</v>
      </c>
      <c r="F12" s="13">
        <v>1800</v>
      </c>
      <c r="G12" s="40"/>
      <c r="H12" s="117"/>
    </row>
    <row r="13" spans="1:9" ht="51">
      <c r="A13" s="153">
        <v>2</v>
      </c>
      <c r="B13" s="14" t="s">
        <v>37</v>
      </c>
      <c r="C13" s="11" t="s">
        <v>17</v>
      </c>
      <c r="D13" s="11" t="s">
        <v>8</v>
      </c>
      <c r="E13" s="12">
        <v>0.6</v>
      </c>
      <c r="F13" s="13">
        <f t="shared" ref="F13:F20" si="0">E13*$I$10*12</f>
        <v>1914.48</v>
      </c>
      <c r="G13" s="40"/>
    </row>
    <row r="14" spans="1:9" ht="51">
      <c r="A14" s="153">
        <v>3</v>
      </c>
      <c r="B14" s="14" t="s">
        <v>13</v>
      </c>
      <c r="C14" s="11" t="s">
        <v>115</v>
      </c>
      <c r="D14" s="11" t="s">
        <v>14</v>
      </c>
      <c r="E14" s="12">
        <v>0.31</v>
      </c>
      <c r="F14" s="13">
        <v>996.42</v>
      </c>
      <c r="G14" s="40"/>
      <c r="H14" s="117"/>
    </row>
    <row r="15" spans="1:9" ht="25.5">
      <c r="A15" s="153">
        <v>4</v>
      </c>
      <c r="B15" s="14" t="s">
        <v>15</v>
      </c>
      <c r="C15" s="11" t="s">
        <v>115</v>
      </c>
      <c r="D15" s="11" t="s">
        <v>8</v>
      </c>
      <c r="E15" s="11">
        <v>5.86</v>
      </c>
      <c r="F15" s="13">
        <f t="shared" si="0"/>
        <v>18698.088</v>
      </c>
      <c r="G15" s="40"/>
    </row>
    <row r="16" spans="1:9">
      <c r="A16" s="153">
        <v>5</v>
      </c>
      <c r="B16" s="14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7913.1839999999993</v>
      </c>
      <c r="G16" s="40"/>
    </row>
    <row r="17" spans="1:8">
      <c r="A17" s="153">
        <v>6</v>
      </c>
      <c r="B17" s="14" t="s">
        <v>36</v>
      </c>
      <c r="C17" s="11" t="s">
        <v>115</v>
      </c>
      <c r="D17" s="11" t="s">
        <v>8</v>
      </c>
      <c r="E17" s="12">
        <v>0.27</v>
      </c>
      <c r="F17" s="13">
        <f t="shared" si="0"/>
        <v>861.51599999999985</v>
      </c>
      <c r="G17" s="40"/>
    </row>
    <row r="18" spans="1:8" ht="25.5">
      <c r="A18" s="153">
        <v>7</v>
      </c>
      <c r="B18" s="14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3126.9839999999999</v>
      </c>
      <c r="G18" s="40"/>
    </row>
    <row r="19" spans="1:8" ht="25.5">
      <c r="A19" s="153">
        <v>9</v>
      </c>
      <c r="B19" s="14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1116.7799999999997</v>
      </c>
      <c r="G19" s="40"/>
      <c r="H19" s="117"/>
    </row>
    <row r="20" spans="1:8" ht="25.5">
      <c r="A20" s="153">
        <v>10</v>
      </c>
      <c r="B20" s="14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3509.88</v>
      </c>
      <c r="G20" s="40"/>
      <c r="H20" s="117"/>
    </row>
    <row r="21" spans="1:8" ht="19.5" thickBot="1">
      <c r="A21" s="154"/>
      <c r="B21" s="16" t="s">
        <v>35</v>
      </c>
      <c r="C21" s="17"/>
      <c r="D21" s="17"/>
      <c r="E21" s="18"/>
      <c r="F21" s="116">
        <f>SUM(F12:F20)</f>
        <v>39937.331999999995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3.75" customHeight="1">
      <c r="A23" s="221" t="s">
        <v>515</v>
      </c>
      <c r="B23" s="221"/>
      <c r="C23" s="221"/>
      <c r="D23" s="221"/>
      <c r="E23" s="221"/>
      <c r="F23" s="221"/>
      <c r="G23" s="69"/>
    </row>
    <row r="24" spans="1:8">
      <c r="A24" s="205"/>
      <c r="B24" s="5"/>
      <c r="C24" s="5"/>
      <c r="D24" s="5"/>
      <c r="E24" s="5"/>
      <c r="F24" s="6"/>
      <c r="G24" s="6"/>
    </row>
    <row r="25" spans="1:8" ht="33.75" customHeight="1">
      <c r="A25" s="221" t="s">
        <v>441</v>
      </c>
      <c r="B25" s="221"/>
      <c r="C25" s="221"/>
      <c r="D25" s="221"/>
      <c r="E25" s="221"/>
      <c r="F25" s="221"/>
      <c r="G25" s="69"/>
    </row>
    <row r="26" spans="1:8">
      <c r="B26" s="5"/>
      <c r="C26" s="5"/>
      <c r="D26" s="5"/>
      <c r="E26" s="5"/>
      <c r="F26" s="6"/>
      <c r="G26" s="6"/>
    </row>
    <row r="27" spans="1:8" ht="16.5" customHeight="1">
      <c r="A27" s="221" t="s">
        <v>103</v>
      </c>
      <c r="B27" s="221"/>
      <c r="C27" s="221"/>
      <c r="D27" s="221"/>
      <c r="E27" s="221"/>
      <c r="F27" s="221"/>
      <c r="G27" s="70"/>
    </row>
    <row r="28" spans="1:8">
      <c r="B28" s="135"/>
      <c r="C28" s="135"/>
      <c r="D28" s="135"/>
      <c r="E28" s="135"/>
      <c r="F28" s="135"/>
      <c r="G28" s="6"/>
    </row>
    <row r="29" spans="1:8" ht="28.5" customHeight="1">
      <c r="A29" s="221" t="s">
        <v>24</v>
      </c>
      <c r="B29" s="221"/>
      <c r="C29" s="221"/>
      <c r="D29" s="221"/>
      <c r="E29" s="221"/>
      <c r="F29" s="221"/>
      <c r="G29" s="69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23" t="s">
        <v>25</v>
      </c>
      <c r="C32" s="223"/>
      <c r="D32" s="223"/>
      <c r="E32" s="223"/>
      <c r="F32" s="223"/>
      <c r="G32" s="71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220" t="s">
        <v>29</v>
      </c>
      <c r="D35" s="220"/>
      <c r="E35" s="220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220" t="s">
        <v>29</v>
      </c>
      <c r="D39" s="220"/>
      <c r="E39" s="220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A1:F1"/>
    <mergeCell ref="A2:F2"/>
    <mergeCell ref="A7:F7"/>
    <mergeCell ref="A9:F9"/>
    <mergeCell ref="A23:F23"/>
    <mergeCell ref="C39:E39"/>
    <mergeCell ref="E4:F4"/>
    <mergeCell ref="B32:F32"/>
    <mergeCell ref="C35:E35"/>
    <mergeCell ref="A25:F25"/>
    <mergeCell ref="A27:F27"/>
    <mergeCell ref="A29:F29"/>
  </mergeCells>
  <pageMargins left="0.24" right="0.21" top="0.4" bottom="0.32" header="0.3" footer="0.2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4" sqref="G14:K23"/>
    </sheetView>
  </sheetViews>
  <sheetFormatPr defaultRowHeight="15"/>
  <cols>
    <col min="1" max="1" width="6.425781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0.75" customHeight="1">
      <c r="A7" s="221" t="s">
        <v>151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60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271.7</v>
      </c>
    </row>
    <row r="11" spans="1:9" ht="81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0.45</v>
      </c>
      <c r="F12" s="13">
        <f>E12*$I$10*12</f>
        <v>1467.18</v>
      </c>
      <c r="G12" s="40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0.6</v>
      </c>
      <c r="F13" s="13">
        <f t="shared" ref="F13:F20" si="0">E13*$I$10*12</f>
        <v>1956.2399999999998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0.31</v>
      </c>
      <c r="F14" s="13">
        <v>996.42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5.05</v>
      </c>
      <c r="F15" s="13">
        <f t="shared" si="0"/>
        <v>16465.019999999997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8085.7919999999995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0.25</v>
      </c>
      <c r="F17" s="13">
        <f t="shared" si="0"/>
        <v>815.09999999999991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3195.1919999999996</v>
      </c>
      <c r="G18" s="40"/>
    </row>
    <row r="19" spans="1:8" ht="25.5">
      <c r="A19" s="153">
        <v>9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1141.1399999999999</v>
      </c>
      <c r="G19" s="40"/>
      <c r="H19" s="117"/>
    </row>
    <row r="20" spans="1:8" ht="25.5">
      <c r="A20" s="153">
        <v>10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3586.44</v>
      </c>
      <c r="G20" s="40"/>
      <c r="H20" s="117"/>
    </row>
    <row r="21" spans="1:8">
      <c r="A21" s="188">
        <v>11</v>
      </c>
      <c r="B21" s="214" t="s">
        <v>407</v>
      </c>
      <c r="C21" s="22"/>
      <c r="D21" s="22" t="s">
        <v>203</v>
      </c>
      <c r="E21" s="22"/>
      <c r="F21" s="23">
        <v>5519</v>
      </c>
      <c r="G21" s="40"/>
      <c r="H21" s="117"/>
    </row>
    <row r="22" spans="1:8" ht="19.5" thickBot="1">
      <c r="A22" s="154"/>
      <c r="B22" s="17" t="s">
        <v>35</v>
      </c>
      <c r="C22" s="17"/>
      <c r="D22" s="17"/>
      <c r="E22" s="18"/>
      <c r="F22" s="116">
        <f>SUM(F12:F21)</f>
        <v>43227.523999999998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221" t="s">
        <v>516</v>
      </c>
      <c r="B24" s="221"/>
      <c r="C24" s="221"/>
      <c r="D24" s="221"/>
      <c r="E24" s="221"/>
      <c r="F24" s="221"/>
      <c r="G24" s="69"/>
    </row>
    <row r="25" spans="1:8">
      <c r="A25" s="201"/>
      <c r="B25" s="140"/>
      <c r="C25" s="140"/>
      <c r="D25" s="140"/>
      <c r="E25" s="140"/>
      <c r="F25" s="141"/>
      <c r="G25" s="6"/>
    </row>
    <row r="26" spans="1:8" ht="33.75" customHeight="1">
      <c r="A26" s="221" t="s">
        <v>442</v>
      </c>
      <c r="B26" s="221"/>
      <c r="C26" s="221"/>
      <c r="D26" s="221"/>
      <c r="E26" s="221"/>
      <c r="F26" s="221"/>
      <c r="G26" s="69"/>
    </row>
    <row r="27" spans="1:8">
      <c r="B27" s="5"/>
      <c r="C27" s="5"/>
      <c r="D27" s="5"/>
      <c r="E27" s="5"/>
      <c r="F27" s="6"/>
      <c r="G27" s="6"/>
    </row>
    <row r="28" spans="1:8" ht="17.25" customHeight="1">
      <c r="A28" s="221" t="s">
        <v>103</v>
      </c>
      <c r="B28" s="221"/>
      <c r="C28" s="221"/>
      <c r="D28" s="221"/>
      <c r="E28" s="221"/>
      <c r="F28" s="221"/>
      <c r="G28" s="70"/>
    </row>
    <row r="29" spans="1:8">
      <c r="B29" s="135"/>
      <c r="C29" s="135"/>
      <c r="D29" s="135"/>
      <c r="E29" s="135"/>
      <c r="F29" s="135"/>
      <c r="G29" s="6"/>
    </row>
    <row r="30" spans="1:8" ht="28.5" customHeight="1">
      <c r="A30" s="221" t="s">
        <v>24</v>
      </c>
      <c r="B30" s="221"/>
      <c r="C30" s="221"/>
      <c r="D30" s="221"/>
      <c r="E30" s="221"/>
      <c r="F30" s="221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23" t="s">
        <v>25</v>
      </c>
      <c r="C33" s="223"/>
      <c r="D33" s="223"/>
      <c r="E33" s="223"/>
      <c r="F33" s="223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220" t="s">
        <v>29</v>
      </c>
      <c r="D36" s="220"/>
      <c r="E36" s="220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220" t="s">
        <v>29</v>
      </c>
      <c r="D40" s="220"/>
      <c r="E40" s="220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A1:F1"/>
    <mergeCell ref="A2:F2"/>
    <mergeCell ref="A7:F7"/>
    <mergeCell ref="A9:F9"/>
    <mergeCell ref="A24:F24"/>
    <mergeCell ref="C40:E40"/>
    <mergeCell ref="E4:F4"/>
    <mergeCell ref="B33:F33"/>
    <mergeCell ref="C36:E36"/>
    <mergeCell ref="A26:F26"/>
    <mergeCell ref="A28:F28"/>
    <mergeCell ref="A30:F30"/>
  </mergeCells>
  <pageMargins left="0.24" right="0.21" top="0.4" bottom="0.32" header="0.3" footer="0.2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G12" sqref="G12:N23"/>
    </sheetView>
  </sheetViews>
  <sheetFormatPr defaultRowHeight="15"/>
  <cols>
    <col min="1" max="1" width="7.140625" customWidth="1"/>
    <col min="2" max="2" width="29.5703125" customWidth="1"/>
    <col min="3" max="3" width="15.7109375" customWidth="1"/>
    <col min="4" max="4" width="10.710937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0.75" customHeight="1">
      <c r="A7" s="221" t="s">
        <v>152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61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271.60000000000002</v>
      </c>
    </row>
    <row r="11" spans="1:9" ht="84.75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0.76</v>
      </c>
      <c r="F12" s="13">
        <v>1650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0.6</v>
      </c>
      <c r="F13" s="13">
        <f t="shared" ref="F13:F20" si="0">E13*$I$10*8</f>
        <v>1303.68</v>
      </c>
      <c r="G13" s="40"/>
      <c r="H13" s="117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0.27</v>
      </c>
      <c r="F14" s="13">
        <f t="shared" si="0"/>
        <v>586.65600000000006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6.27</v>
      </c>
      <c r="F15" s="13">
        <f t="shared" si="0"/>
        <v>13623.456</v>
      </c>
      <c r="G15" s="40"/>
      <c r="H15" s="117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5388.5440000000008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0.28000000000000003</v>
      </c>
      <c r="F17" s="13">
        <f t="shared" si="0"/>
        <v>608.38400000000013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2129.3440000000001</v>
      </c>
      <c r="G18" s="40"/>
      <c r="H18" s="117"/>
    </row>
    <row r="19" spans="1:8" ht="25.5">
      <c r="A19" s="153">
        <v>8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760.48</v>
      </c>
      <c r="G19" s="40"/>
      <c r="H19" s="117"/>
    </row>
    <row r="20" spans="1:8" ht="25.5">
      <c r="A20" s="153">
        <v>9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2390.0800000000004</v>
      </c>
      <c r="G20" s="40"/>
      <c r="H20" s="117"/>
    </row>
    <row r="21" spans="1:8" ht="19.5" thickBot="1">
      <c r="A21" s="156"/>
      <c r="B21" s="17" t="s">
        <v>35</v>
      </c>
      <c r="C21" s="17"/>
      <c r="D21" s="17"/>
      <c r="E21" s="18"/>
      <c r="F21" s="116">
        <f>SUM(F12:F20)</f>
        <v>28440.624000000007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6.75" customHeight="1">
      <c r="A23" s="221" t="s">
        <v>517</v>
      </c>
      <c r="B23" s="221"/>
      <c r="C23" s="221"/>
      <c r="D23" s="221"/>
      <c r="E23" s="221"/>
      <c r="F23" s="221"/>
      <c r="G23" s="69"/>
    </row>
    <row r="24" spans="1:8">
      <c r="A24" s="201"/>
      <c r="B24" s="140"/>
      <c r="C24" s="140"/>
      <c r="D24" s="140"/>
      <c r="E24" s="140"/>
      <c r="F24" s="141"/>
      <c r="G24" s="6"/>
    </row>
    <row r="25" spans="1:8" ht="33.75" customHeight="1">
      <c r="A25" s="221" t="s">
        <v>443</v>
      </c>
      <c r="B25" s="221"/>
      <c r="C25" s="221"/>
      <c r="D25" s="221"/>
      <c r="E25" s="221"/>
      <c r="F25" s="221"/>
      <c r="G25" s="69"/>
    </row>
    <row r="26" spans="1:8">
      <c r="B26" s="5"/>
      <c r="C26" s="5"/>
      <c r="D26" s="5"/>
      <c r="E26" s="5"/>
      <c r="F26" s="6"/>
      <c r="G26" s="6"/>
    </row>
    <row r="27" spans="1:8" ht="15.75" customHeight="1">
      <c r="A27" s="221" t="s">
        <v>103</v>
      </c>
      <c r="B27" s="221"/>
      <c r="C27" s="221"/>
      <c r="D27" s="221"/>
      <c r="E27" s="221"/>
      <c r="F27" s="221"/>
      <c r="G27" s="70"/>
    </row>
    <row r="28" spans="1:8">
      <c r="B28" s="135"/>
      <c r="C28" s="135"/>
      <c r="D28" s="135"/>
      <c r="E28" s="135"/>
      <c r="F28" s="135"/>
      <c r="G28" s="6"/>
    </row>
    <row r="29" spans="1:8" ht="28.5" customHeight="1">
      <c r="A29" s="221" t="s">
        <v>24</v>
      </c>
      <c r="B29" s="221"/>
      <c r="C29" s="221"/>
      <c r="D29" s="221"/>
      <c r="E29" s="221"/>
      <c r="F29" s="221"/>
      <c r="G29" s="69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23" t="s">
        <v>25</v>
      </c>
      <c r="C32" s="223"/>
      <c r="D32" s="223"/>
      <c r="E32" s="223"/>
      <c r="F32" s="223"/>
      <c r="G32" s="71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220" t="s">
        <v>29</v>
      </c>
      <c r="D35" s="220"/>
      <c r="E35" s="220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220" t="s">
        <v>29</v>
      </c>
      <c r="D39" s="220"/>
      <c r="E39" s="220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A1:F1"/>
    <mergeCell ref="A2:F2"/>
    <mergeCell ref="A7:F7"/>
    <mergeCell ref="A9:F9"/>
    <mergeCell ref="A23:F23"/>
    <mergeCell ref="C39:E39"/>
    <mergeCell ref="E4:F4"/>
    <mergeCell ref="B32:F32"/>
    <mergeCell ref="C35:E35"/>
    <mergeCell ref="A25:F25"/>
    <mergeCell ref="A27:F27"/>
    <mergeCell ref="A29:F29"/>
  </mergeCells>
  <pageMargins left="0.24" right="0.21" top="0.4" bottom="0.32" header="0.3" footer="0.2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H25" sqref="H25"/>
    </sheetView>
  </sheetViews>
  <sheetFormatPr defaultRowHeight="15"/>
  <cols>
    <col min="1" max="1" width="6.85546875" customWidth="1"/>
    <col min="2" max="2" width="29.5703125" customWidth="1"/>
    <col min="3" max="3" width="15.7109375" customWidth="1"/>
    <col min="4" max="4" width="10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1.5" customHeight="1">
      <c r="A7" s="221" t="s">
        <v>153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62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276.3</v>
      </c>
    </row>
    <row r="11" spans="1:9" ht="84.75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0.5</v>
      </c>
      <c r="F12" s="13">
        <v>1650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0.6</v>
      </c>
      <c r="F13" s="13">
        <f t="shared" ref="F13:F20" si="0">E13*$I$10*12</f>
        <v>1989.3600000000001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0.49</v>
      </c>
      <c r="F14" s="13">
        <f t="shared" si="0"/>
        <v>1624.644</v>
      </c>
      <c r="G14" s="40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5.43</v>
      </c>
      <c r="F15" s="13">
        <f t="shared" si="0"/>
        <v>18003.707999999999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8222.6880000000001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0.24</v>
      </c>
      <c r="F17" s="13">
        <f t="shared" si="0"/>
        <v>795.74399999999991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3249.288</v>
      </c>
      <c r="G18" s="40"/>
    </row>
    <row r="19" spans="1:8" ht="25.5">
      <c r="A19" s="153">
        <v>8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1160.46</v>
      </c>
      <c r="G19" s="40"/>
      <c r="H19" s="117"/>
    </row>
    <row r="20" spans="1:8" ht="25.5">
      <c r="A20" s="153">
        <v>9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3647.1600000000008</v>
      </c>
      <c r="G20" s="40"/>
      <c r="H20" s="117"/>
    </row>
    <row r="21" spans="1:8" ht="19.5" thickBot="1">
      <c r="A21" s="156"/>
      <c r="B21" s="17" t="s">
        <v>35</v>
      </c>
      <c r="C21" s="17"/>
      <c r="D21" s="17"/>
      <c r="E21" s="18"/>
      <c r="F21" s="116">
        <f>SUM(F12:F20)</f>
        <v>40343.052000000003</v>
      </c>
      <c r="G21" s="41"/>
      <c r="H21" s="117"/>
    </row>
    <row r="22" spans="1:8">
      <c r="A22" s="157"/>
      <c r="B22" s="158"/>
      <c r="C22" s="158"/>
      <c r="D22" s="158"/>
      <c r="E22" s="158"/>
      <c r="F22" s="159"/>
      <c r="G22" s="6"/>
    </row>
    <row r="23" spans="1:8" ht="36.75" customHeight="1">
      <c r="A23" s="221" t="s">
        <v>518</v>
      </c>
      <c r="B23" s="221"/>
      <c r="C23" s="221"/>
      <c r="D23" s="221"/>
      <c r="E23" s="221"/>
      <c r="F23" s="221"/>
      <c r="G23" s="69"/>
    </row>
    <row r="24" spans="1:8">
      <c r="A24" s="201"/>
      <c r="B24" s="140"/>
      <c r="C24" s="140"/>
      <c r="D24" s="140"/>
      <c r="E24" s="140"/>
      <c r="F24" s="141"/>
      <c r="G24" s="6"/>
    </row>
    <row r="25" spans="1:8" ht="32.25" customHeight="1">
      <c r="A25" s="221" t="s">
        <v>444</v>
      </c>
      <c r="B25" s="221"/>
      <c r="C25" s="221"/>
      <c r="D25" s="221"/>
      <c r="E25" s="221"/>
      <c r="F25" s="221"/>
      <c r="G25" s="69"/>
    </row>
    <row r="26" spans="1:8">
      <c r="B26" s="5"/>
      <c r="C26" s="5"/>
      <c r="D26" s="5"/>
      <c r="E26" s="5"/>
      <c r="F26" s="6"/>
      <c r="G26" s="6"/>
    </row>
    <row r="27" spans="1:8" ht="18" customHeight="1">
      <c r="A27" s="221" t="s">
        <v>103</v>
      </c>
      <c r="B27" s="221"/>
      <c r="C27" s="221"/>
      <c r="D27" s="221"/>
      <c r="E27" s="221"/>
      <c r="F27" s="221"/>
      <c r="G27" s="70"/>
    </row>
    <row r="28" spans="1:8">
      <c r="B28" s="135"/>
      <c r="C28" s="135"/>
      <c r="D28" s="135"/>
      <c r="E28" s="135"/>
      <c r="F28" s="135"/>
      <c r="G28" s="6"/>
    </row>
    <row r="29" spans="1:8" ht="28.5" customHeight="1">
      <c r="A29" s="221" t="s">
        <v>24</v>
      </c>
      <c r="B29" s="221"/>
      <c r="C29" s="221"/>
      <c r="D29" s="221"/>
      <c r="E29" s="221"/>
      <c r="F29" s="221"/>
      <c r="G29" s="69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23" t="s">
        <v>25</v>
      </c>
      <c r="C32" s="223"/>
      <c r="D32" s="223"/>
      <c r="E32" s="223"/>
      <c r="F32" s="223"/>
      <c r="G32" s="71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220" t="s">
        <v>29</v>
      </c>
      <c r="D35" s="220"/>
      <c r="E35" s="220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220" t="s">
        <v>29</v>
      </c>
      <c r="D39" s="220"/>
      <c r="E39" s="220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A1:F1"/>
    <mergeCell ref="A2:F2"/>
    <mergeCell ref="A7:F7"/>
    <mergeCell ref="A9:F9"/>
    <mergeCell ref="A23:F23"/>
    <mergeCell ref="C39:E39"/>
    <mergeCell ref="E4:F4"/>
    <mergeCell ref="B32:F32"/>
    <mergeCell ref="C35:E35"/>
    <mergeCell ref="A25:F25"/>
    <mergeCell ref="A27:F27"/>
    <mergeCell ref="A29:F29"/>
  </mergeCells>
  <pageMargins left="0.24" right="0.21" top="0.4" bottom="0.32" header="0.3" footer="0.2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1"/>
  <sheetViews>
    <sheetView topLeftCell="A12" workbookViewId="0">
      <selection activeCell="G12" sqref="G12:I23"/>
    </sheetView>
  </sheetViews>
  <sheetFormatPr defaultRowHeight="15"/>
  <cols>
    <col min="1" max="1" width="7" customWidth="1"/>
    <col min="2" max="2" width="29.5703125" customWidth="1"/>
    <col min="3" max="3" width="15.7109375" customWidth="1"/>
    <col min="4" max="4" width="10.1406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24" t="s">
        <v>0</v>
      </c>
      <c r="B1" s="224"/>
      <c r="C1" s="224"/>
      <c r="D1" s="224"/>
      <c r="E1" s="224"/>
      <c r="F1" s="224"/>
      <c r="G1" s="66"/>
    </row>
    <row r="2" spans="1:9" ht="36" customHeight="1">
      <c r="A2" s="225" t="s">
        <v>1</v>
      </c>
      <c r="B2" s="225"/>
      <c r="C2" s="225"/>
      <c r="D2" s="225"/>
      <c r="E2" s="225"/>
      <c r="F2" s="225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226" t="s">
        <v>209</v>
      </c>
      <c r="F4" s="226"/>
      <c r="G4" s="68"/>
    </row>
    <row r="5" spans="1:9">
      <c r="B5" s="1"/>
      <c r="C5" s="1"/>
      <c r="D5" s="1"/>
      <c r="E5" s="226"/>
      <c r="F5" s="226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221" t="s">
        <v>154</v>
      </c>
      <c r="B7" s="221"/>
      <c r="C7" s="221"/>
      <c r="D7" s="221"/>
      <c r="E7" s="221"/>
      <c r="F7" s="221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221" t="s">
        <v>63</v>
      </c>
      <c r="B9" s="221"/>
      <c r="C9" s="221"/>
      <c r="D9" s="221"/>
      <c r="E9" s="221"/>
      <c r="F9" s="221"/>
      <c r="G9" s="69"/>
    </row>
    <row r="10" spans="1:9" ht="15.75" thickBot="1">
      <c r="B10" s="5"/>
      <c r="C10" s="5"/>
      <c r="D10" s="5"/>
      <c r="E10" s="5"/>
      <c r="F10" s="6"/>
      <c r="G10" s="6"/>
      <c r="I10">
        <v>268.89999999999998</v>
      </c>
    </row>
    <row r="11" spans="1:9" ht="84.75" customHeight="1">
      <c r="A11" s="155" t="s">
        <v>112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3">
        <v>1</v>
      </c>
      <c r="B12" s="151" t="s">
        <v>10</v>
      </c>
      <c r="C12" s="11" t="s">
        <v>115</v>
      </c>
      <c r="D12" s="11" t="s">
        <v>12</v>
      </c>
      <c r="E12" s="12">
        <v>0.51</v>
      </c>
      <c r="F12" s="13">
        <v>1650</v>
      </c>
      <c r="G12" s="40"/>
      <c r="H12" s="117"/>
    </row>
    <row r="13" spans="1:9" ht="51">
      <c r="A13" s="153">
        <v>2</v>
      </c>
      <c r="B13" s="151" t="s">
        <v>37</v>
      </c>
      <c r="C13" s="11" t="s">
        <v>17</v>
      </c>
      <c r="D13" s="11" t="s">
        <v>8</v>
      </c>
      <c r="E13" s="12">
        <v>0.6</v>
      </c>
      <c r="F13" s="13">
        <f t="shared" ref="F13:F20" si="0">E13*$I$10*12</f>
        <v>1936.0799999999997</v>
      </c>
      <c r="G13" s="40"/>
    </row>
    <row r="14" spans="1:9" ht="51">
      <c r="A14" s="153">
        <v>3</v>
      </c>
      <c r="B14" s="151" t="s">
        <v>13</v>
      </c>
      <c r="C14" s="11" t="s">
        <v>115</v>
      </c>
      <c r="D14" s="11" t="s">
        <v>14</v>
      </c>
      <c r="E14" s="12">
        <v>0.31</v>
      </c>
      <c r="F14" s="13">
        <v>996.42</v>
      </c>
      <c r="G14" s="40"/>
      <c r="H14" s="117"/>
    </row>
    <row r="15" spans="1:9" ht="25.5">
      <c r="A15" s="153">
        <v>4</v>
      </c>
      <c r="B15" s="151" t="s">
        <v>15</v>
      </c>
      <c r="C15" s="11" t="s">
        <v>115</v>
      </c>
      <c r="D15" s="11" t="s">
        <v>8</v>
      </c>
      <c r="E15" s="11">
        <v>5.55</v>
      </c>
      <c r="F15" s="13">
        <f t="shared" si="0"/>
        <v>17908.739999999998</v>
      </c>
      <c r="G15" s="40"/>
    </row>
    <row r="16" spans="1:9">
      <c r="A16" s="153">
        <v>5</v>
      </c>
      <c r="B16" s="151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8002.4639999999999</v>
      </c>
      <c r="G16" s="40"/>
    </row>
    <row r="17" spans="1:8">
      <c r="A17" s="153">
        <v>6</v>
      </c>
      <c r="B17" s="151" t="s">
        <v>36</v>
      </c>
      <c r="C17" s="11" t="s">
        <v>115</v>
      </c>
      <c r="D17" s="11" t="s">
        <v>8</v>
      </c>
      <c r="E17" s="12">
        <v>0.27</v>
      </c>
      <c r="F17" s="13">
        <f t="shared" si="0"/>
        <v>871.23599999999988</v>
      </c>
      <c r="G17" s="40"/>
    </row>
    <row r="18" spans="1:8" ht="25.5">
      <c r="A18" s="153">
        <v>7</v>
      </c>
      <c r="B18" s="151" t="s">
        <v>18</v>
      </c>
      <c r="C18" s="11" t="s">
        <v>19</v>
      </c>
      <c r="D18" s="11" t="s">
        <v>8</v>
      </c>
      <c r="E18" s="12">
        <v>0.98</v>
      </c>
      <c r="F18" s="13">
        <f t="shared" si="0"/>
        <v>3162.2640000000001</v>
      </c>
      <c r="G18" s="40"/>
    </row>
    <row r="19" spans="1:8" ht="25.5">
      <c r="A19" s="153">
        <v>9</v>
      </c>
      <c r="B19" s="151" t="s">
        <v>21</v>
      </c>
      <c r="C19" s="11" t="s">
        <v>19</v>
      </c>
      <c r="D19" s="11" t="s">
        <v>8</v>
      </c>
      <c r="E19" s="11">
        <v>0.35</v>
      </c>
      <c r="F19" s="13">
        <f t="shared" si="0"/>
        <v>1129.3799999999997</v>
      </c>
      <c r="G19" s="40"/>
      <c r="H19" s="117"/>
    </row>
    <row r="20" spans="1:8" ht="26.25" customHeight="1">
      <c r="A20" s="153">
        <v>10</v>
      </c>
      <c r="B20" s="151" t="s">
        <v>22</v>
      </c>
      <c r="C20" s="11" t="s">
        <v>17</v>
      </c>
      <c r="D20" s="11" t="s">
        <v>8</v>
      </c>
      <c r="E20" s="11">
        <v>1.1000000000000001</v>
      </c>
      <c r="F20" s="13">
        <f t="shared" si="0"/>
        <v>3549.4800000000005</v>
      </c>
      <c r="G20" s="40"/>
      <c r="H20" s="117"/>
    </row>
    <row r="21" spans="1:8" ht="19.5" thickBot="1">
      <c r="A21" s="154"/>
      <c r="B21" s="17" t="s">
        <v>35</v>
      </c>
      <c r="C21" s="17"/>
      <c r="D21" s="17"/>
      <c r="E21" s="18"/>
      <c r="F21" s="116">
        <f>SUM(F12:F20)</f>
        <v>39206.063999999998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6.75" customHeight="1">
      <c r="A23" s="221" t="s">
        <v>445</v>
      </c>
      <c r="B23" s="221"/>
      <c r="C23" s="221"/>
      <c r="D23" s="221"/>
      <c r="E23" s="221"/>
      <c r="F23" s="221"/>
      <c r="G23" s="69"/>
    </row>
    <row r="24" spans="1:8">
      <c r="B24" s="5"/>
      <c r="C24" s="5"/>
      <c r="D24" s="5"/>
      <c r="E24" s="5"/>
      <c r="F24" s="6"/>
      <c r="G24" s="6"/>
    </row>
    <row r="25" spans="1:8" ht="30" customHeight="1">
      <c r="A25" s="221" t="s">
        <v>446</v>
      </c>
      <c r="B25" s="221"/>
      <c r="C25" s="221"/>
      <c r="D25" s="221"/>
      <c r="E25" s="221"/>
      <c r="F25" s="221"/>
      <c r="G25" s="69"/>
    </row>
    <row r="26" spans="1:8">
      <c r="B26" s="5"/>
      <c r="C26" s="5"/>
      <c r="D26" s="5"/>
      <c r="E26" s="5"/>
      <c r="F26" s="6"/>
      <c r="G26" s="6"/>
    </row>
    <row r="27" spans="1:8" ht="20.25" customHeight="1">
      <c r="A27" s="221" t="s">
        <v>103</v>
      </c>
      <c r="B27" s="221"/>
      <c r="C27" s="221"/>
      <c r="D27" s="221"/>
      <c r="E27" s="221"/>
      <c r="F27" s="221"/>
      <c r="G27" s="70"/>
    </row>
    <row r="28" spans="1:8">
      <c r="B28" s="135"/>
      <c r="C28" s="135"/>
      <c r="D28" s="135"/>
      <c r="E28" s="135"/>
      <c r="F28" s="135"/>
      <c r="G28" s="6"/>
    </row>
    <row r="29" spans="1:8">
      <c r="B29" s="146"/>
      <c r="C29" s="146"/>
      <c r="D29" s="146"/>
      <c r="E29" s="146"/>
      <c r="F29" s="146"/>
      <c r="G29" s="6"/>
    </row>
    <row r="30" spans="1:8" ht="28.5" customHeight="1">
      <c r="A30" s="221" t="s">
        <v>24</v>
      </c>
      <c r="B30" s="221"/>
      <c r="C30" s="221"/>
      <c r="D30" s="221"/>
      <c r="E30" s="221"/>
      <c r="F30" s="221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23" t="s">
        <v>25</v>
      </c>
      <c r="C33" s="223"/>
      <c r="D33" s="223"/>
      <c r="E33" s="223"/>
      <c r="F33" s="223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220" t="s">
        <v>29</v>
      </c>
      <c r="D36" s="220"/>
      <c r="E36" s="220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220" t="s">
        <v>29</v>
      </c>
      <c r="D40" s="220"/>
      <c r="E40" s="220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3">
    <mergeCell ref="A1:F1"/>
    <mergeCell ref="A2:F2"/>
    <mergeCell ref="A7:F7"/>
    <mergeCell ref="A9:F9"/>
    <mergeCell ref="A23:F23"/>
    <mergeCell ref="C40:E40"/>
    <mergeCell ref="E4:F4"/>
    <mergeCell ref="B33:F33"/>
    <mergeCell ref="C36:E36"/>
    <mergeCell ref="A25:F25"/>
    <mergeCell ref="A27:F27"/>
    <mergeCell ref="A30:F30"/>
    <mergeCell ref="E5:F5"/>
  </mergeCells>
  <pageMargins left="0.24" right="0.21" top="0.4" bottom="0.32" header="0.3" footer="0.2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14" sqref="F14:G1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72"/>
    </row>
    <row r="2" spans="1:8" ht="36" customHeight="1">
      <c r="A2" s="225" t="s">
        <v>1</v>
      </c>
      <c r="B2" s="225"/>
      <c r="C2" s="225"/>
      <c r="D2" s="225"/>
      <c r="E2" s="225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226" t="s">
        <v>209</v>
      </c>
      <c r="E4" s="226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155</v>
      </c>
      <c r="B7" s="221"/>
      <c r="C7" s="221"/>
      <c r="D7" s="221"/>
      <c r="E7" s="221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64</v>
      </c>
      <c r="B9" s="221"/>
      <c r="C9" s="221"/>
      <c r="D9" s="221"/>
      <c r="E9" s="221"/>
      <c r="F9" s="75"/>
    </row>
    <row r="10" spans="1:8" ht="15.75" thickBot="1">
      <c r="A10" s="5"/>
      <c r="B10" s="5"/>
      <c r="C10" s="5"/>
      <c r="D10" s="5"/>
      <c r="E10" s="6"/>
      <c r="F10" s="6"/>
      <c r="H10">
        <v>270.89999999999998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D12*4*$H$10</f>
        <v>433.44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D13*4*$H$10</f>
        <v>563.47199999999998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1.48</v>
      </c>
      <c r="E14" s="13">
        <f>D14*12*H10</f>
        <v>4811.1839999999993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1842.12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0.78</v>
      </c>
      <c r="E16" s="13">
        <v>2528.42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315</v>
      </c>
      <c r="E17" s="13">
        <f>7.3*$H$10*8+4.29*H10</f>
        <v>16982.720999999998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2.48*$H$10*8+3.18*4*H10</f>
        <v>8820.5040000000008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0.51</v>
      </c>
      <c r="E19" s="13">
        <f t="shared" ref="E19" si="0">D19*$H$10*12</f>
        <v>1657.9079999999999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3185.7839999999997</v>
      </c>
      <c r="F20" s="40"/>
    </row>
    <row r="21" spans="1:7" ht="38.25">
      <c r="A21" s="14" t="s">
        <v>317</v>
      </c>
      <c r="B21" s="11" t="s">
        <v>19</v>
      </c>
      <c r="C21" s="11" t="s">
        <v>8</v>
      </c>
      <c r="D21" s="12">
        <v>1.69</v>
      </c>
      <c r="E21" s="13">
        <f>1.69*12*H10</f>
        <v>5493.8519999999999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1137.7799999999997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5233.7879999999996</v>
      </c>
      <c r="F23" s="40"/>
      <c r="G23" s="117"/>
    </row>
    <row r="24" spans="1:7" ht="25.5">
      <c r="A24" s="21" t="s">
        <v>241</v>
      </c>
      <c r="B24" s="22"/>
      <c r="C24" s="11" t="s">
        <v>8</v>
      </c>
      <c r="D24" s="22">
        <v>2.46</v>
      </c>
      <c r="E24" s="23">
        <f>D24*4*H10</f>
        <v>2665.6559999999999</v>
      </c>
      <c r="F24" s="40"/>
      <c r="G24" s="117"/>
    </row>
    <row r="25" spans="1:7" ht="19.5" thickBot="1">
      <c r="A25" s="16" t="s">
        <v>35</v>
      </c>
      <c r="B25" s="17"/>
      <c r="C25" s="17"/>
      <c r="D25" s="18"/>
      <c r="E25" s="116">
        <f>SUM(E12:E24)</f>
        <v>55356.629000000001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519</v>
      </c>
      <c r="B27" s="221"/>
      <c r="C27" s="221"/>
      <c r="D27" s="221"/>
      <c r="E27" s="221"/>
      <c r="F27" s="75"/>
    </row>
    <row r="28" spans="1:7">
      <c r="A28" s="140"/>
      <c r="B28" s="140"/>
      <c r="C28" s="140"/>
      <c r="D28" s="140"/>
      <c r="E28" s="141"/>
      <c r="F28" s="6"/>
    </row>
    <row r="29" spans="1:7" ht="30.75" customHeight="1">
      <c r="A29" s="221" t="s">
        <v>447</v>
      </c>
      <c r="B29" s="221"/>
      <c r="C29" s="221"/>
      <c r="D29" s="221"/>
      <c r="E29" s="221"/>
      <c r="F29" s="75"/>
    </row>
    <row r="30" spans="1:7">
      <c r="A30" s="5"/>
      <c r="B30" s="5"/>
      <c r="C30" s="5"/>
      <c r="D30" s="5"/>
      <c r="E30" s="6"/>
      <c r="F30" s="6"/>
    </row>
    <row r="31" spans="1:7" ht="30.75" customHeight="1">
      <c r="A31" s="221" t="s">
        <v>103</v>
      </c>
      <c r="B31" s="221"/>
      <c r="C31" s="221"/>
      <c r="D31" s="221"/>
      <c r="E31" s="221"/>
      <c r="F31" s="76"/>
    </row>
    <row r="32" spans="1:7">
      <c r="A32" s="135"/>
      <c r="B32" s="135"/>
      <c r="C32" s="135"/>
      <c r="D32" s="135"/>
      <c r="E32" s="135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7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7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D4:E4"/>
    <mergeCell ref="B43:D43"/>
    <mergeCell ref="A1:E1"/>
    <mergeCell ref="A2:E2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topLeftCell="A9" workbookViewId="0">
      <selection activeCell="F14" sqref="F14:H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72"/>
    </row>
    <row r="2" spans="1:8" ht="36" customHeight="1">
      <c r="A2" s="225" t="s">
        <v>1</v>
      </c>
      <c r="B2" s="225"/>
      <c r="C2" s="225"/>
      <c r="D2" s="225"/>
      <c r="E2" s="225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226" t="s">
        <v>209</v>
      </c>
      <c r="E4" s="226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156</v>
      </c>
      <c r="B7" s="221"/>
      <c r="C7" s="221"/>
      <c r="D7" s="221"/>
      <c r="E7" s="221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65</v>
      </c>
      <c r="B9" s="221"/>
      <c r="C9" s="221"/>
      <c r="D9" s="221"/>
      <c r="E9" s="221"/>
      <c r="F9" s="75"/>
    </row>
    <row r="10" spans="1:8" ht="15.75" thickBot="1">
      <c r="A10" s="5"/>
      <c r="B10" s="5"/>
      <c r="C10" s="5"/>
      <c r="D10" s="5"/>
      <c r="E10" s="6"/>
      <c r="F10" s="6"/>
      <c r="H10">
        <v>293.7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D12*4*$H$10</f>
        <v>469.92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D13*4*$H$10</f>
        <v>610.89599999999996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1.36</v>
      </c>
      <c r="E14" s="13">
        <f>D14*12*H10</f>
        <v>4793.1840000000002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1997.1599999999999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0.27</v>
      </c>
      <c r="E16" s="13">
        <f>D16*12*H10</f>
        <v>951.58800000000008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323</v>
      </c>
      <c r="E17" s="13">
        <f>7.84*$H$10*8+9.1*4*H10</f>
        <v>29111.543999999994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3.18</v>
      </c>
      <c r="E18" s="13">
        <f>3.18*12*H10</f>
        <v>11207.592000000001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0.25</v>
      </c>
      <c r="E19" s="13">
        <f t="shared" ref="E19" si="0">D19*$H$10*12</f>
        <v>881.09999999999991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3453.9119999999998</v>
      </c>
      <c r="F20" s="40"/>
    </row>
    <row r="21" spans="1:7" ht="25.5">
      <c r="A21" s="14" t="s">
        <v>110</v>
      </c>
      <c r="B21" s="11" t="s">
        <v>19</v>
      </c>
      <c r="C21" s="11" t="s">
        <v>8</v>
      </c>
      <c r="D21" s="12">
        <v>1.69</v>
      </c>
      <c r="E21" s="13">
        <f>D21*12*H10</f>
        <v>5956.2359999999999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D22*12*H10</f>
        <v>1233.5399999999997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D23*12*H10</f>
        <v>5674.2839999999997</v>
      </c>
      <c r="F23" s="40"/>
      <c r="G23" s="117"/>
    </row>
    <row r="24" spans="1:7" ht="19.5" thickBot="1">
      <c r="A24" s="16" t="s">
        <v>35</v>
      </c>
      <c r="B24" s="17"/>
      <c r="C24" s="17"/>
      <c r="D24" s="18"/>
      <c r="E24" s="116">
        <f>SUM(E12:E23)</f>
        <v>66340.955999999976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221" t="s">
        <v>520</v>
      </c>
      <c r="B26" s="221"/>
      <c r="C26" s="221"/>
      <c r="D26" s="221"/>
      <c r="E26" s="221"/>
      <c r="F26" s="75"/>
    </row>
    <row r="27" spans="1:7">
      <c r="A27" s="140"/>
      <c r="B27" s="140"/>
      <c r="C27" s="140"/>
      <c r="D27" s="140"/>
      <c r="E27" s="141"/>
      <c r="F27" s="6"/>
    </row>
    <row r="28" spans="1:7" ht="30" customHeight="1">
      <c r="A28" s="221" t="s">
        <v>448</v>
      </c>
      <c r="B28" s="221"/>
      <c r="C28" s="221"/>
      <c r="D28" s="221"/>
      <c r="E28" s="221"/>
      <c r="F28" s="75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221" t="s">
        <v>103</v>
      </c>
      <c r="B30" s="221"/>
      <c r="C30" s="221"/>
      <c r="D30" s="221"/>
      <c r="E30" s="221"/>
      <c r="F30" s="76"/>
    </row>
    <row r="31" spans="1:7">
      <c r="A31" s="135"/>
      <c r="B31" s="135"/>
      <c r="C31" s="135"/>
      <c r="D31" s="135"/>
      <c r="E31" s="135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7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7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topLeftCell="A9" workbookViewId="0">
      <selection activeCell="F14" sqref="F14:G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72"/>
    </row>
    <row r="2" spans="1:8" ht="36" customHeight="1">
      <c r="A2" s="225" t="s">
        <v>1</v>
      </c>
      <c r="B2" s="225"/>
      <c r="C2" s="225"/>
      <c r="D2" s="225"/>
      <c r="E2" s="225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226" t="s">
        <v>209</v>
      </c>
      <c r="E4" s="226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157</v>
      </c>
      <c r="B7" s="221"/>
      <c r="C7" s="221"/>
      <c r="D7" s="221"/>
      <c r="E7" s="221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67</v>
      </c>
      <c r="B9" s="221"/>
      <c r="C9" s="221"/>
      <c r="D9" s="221"/>
      <c r="E9" s="221"/>
      <c r="F9" s="75"/>
    </row>
    <row r="10" spans="1:8" ht="15.75" thickBot="1">
      <c r="A10" s="5"/>
      <c r="B10" s="5"/>
      <c r="C10" s="5"/>
      <c r="D10" s="5"/>
      <c r="E10" s="6"/>
      <c r="F10" s="6"/>
      <c r="H10">
        <v>270.3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D12*5*$H$10</f>
        <v>540.6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D13*5*$H$10</f>
        <v>702.78000000000009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1.48</v>
      </c>
      <c r="E14" s="13">
        <f>D14*12*H10</f>
        <v>4800.5279999999993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0.6*12*H10</f>
        <v>1946.1599999999999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0.77</v>
      </c>
      <c r="E16" s="13">
        <v>2510.4699999999998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325</v>
      </c>
      <c r="E17" s="13">
        <f>7.11*$H$10*7+4.29*5*H10</f>
        <v>19250.766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10314.648000000001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0.26</v>
      </c>
      <c r="E19" s="13">
        <f t="shared" ref="E19" si="0">D19*$H$10*12</f>
        <v>843.33600000000001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3178.7280000000001</v>
      </c>
      <c r="F20" s="40"/>
    </row>
    <row r="21" spans="1:7" ht="25.5">
      <c r="A21" s="14" t="s">
        <v>66</v>
      </c>
      <c r="B21" s="11" t="s">
        <v>19</v>
      </c>
      <c r="C21" s="11" t="s">
        <v>8</v>
      </c>
      <c r="D21" s="84">
        <v>1.69</v>
      </c>
      <c r="E21" s="13">
        <f>1.69*12*H10</f>
        <v>5481.6840000000002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1135.2599999999998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0.53*7*H10+1.61*5*H10</f>
        <v>3178.7280000000005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53883.688000000009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221" t="s">
        <v>521</v>
      </c>
      <c r="B26" s="221"/>
      <c r="C26" s="221"/>
      <c r="D26" s="221"/>
      <c r="E26" s="221"/>
      <c r="F26" s="75"/>
    </row>
    <row r="27" spans="1:7">
      <c r="A27" s="140"/>
      <c r="B27" s="140"/>
      <c r="C27" s="140"/>
      <c r="D27" s="140"/>
      <c r="E27" s="141"/>
      <c r="F27" s="6"/>
    </row>
    <row r="28" spans="1:7" ht="33.75" customHeight="1">
      <c r="A28" s="221" t="s">
        <v>449</v>
      </c>
      <c r="B28" s="221"/>
      <c r="C28" s="221"/>
      <c r="D28" s="221"/>
      <c r="E28" s="221"/>
      <c r="F28" s="75"/>
    </row>
    <row r="29" spans="1:7">
      <c r="A29" s="5"/>
      <c r="B29" s="5"/>
      <c r="C29" s="5"/>
      <c r="D29" s="5"/>
      <c r="E29" s="6"/>
      <c r="F29" s="6"/>
    </row>
    <row r="30" spans="1:7" ht="33" customHeight="1">
      <c r="A30" s="221" t="s">
        <v>103</v>
      </c>
      <c r="B30" s="221"/>
      <c r="C30" s="221"/>
      <c r="D30" s="221"/>
      <c r="E30" s="221"/>
      <c r="F30" s="76"/>
    </row>
    <row r="31" spans="1:7">
      <c r="A31" s="135"/>
      <c r="B31" s="135"/>
      <c r="C31" s="135"/>
      <c r="D31" s="135"/>
      <c r="E31" s="135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7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7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5"/>
  <sheetViews>
    <sheetView topLeftCell="A15" workbookViewId="0">
      <selection activeCell="F16" sqref="F16:J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78"/>
    </row>
    <row r="2" spans="1:8" ht="36" customHeight="1">
      <c r="A2" s="225" t="s">
        <v>1</v>
      </c>
      <c r="B2" s="225"/>
      <c r="C2" s="225"/>
      <c r="D2" s="225"/>
      <c r="E2" s="225"/>
      <c r="F2" s="79"/>
    </row>
    <row r="3" spans="1:8">
      <c r="A3" s="1"/>
      <c r="B3" s="1"/>
      <c r="C3" s="1"/>
      <c r="D3" s="1"/>
      <c r="E3" s="2"/>
      <c r="F3" s="2"/>
    </row>
    <row r="4" spans="1:8" ht="15" customHeight="1">
      <c r="A4" s="81" t="s">
        <v>2</v>
      </c>
      <c r="B4" s="1"/>
      <c r="C4" s="1"/>
      <c r="D4" s="226" t="s">
        <v>209</v>
      </c>
      <c r="E4" s="226"/>
      <c r="F4" s="8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158</v>
      </c>
      <c r="B7" s="221"/>
      <c r="C7" s="221"/>
      <c r="D7" s="221"/>
      <c r="E7" s="221"/>
      <c r="F7" s="8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68</v>
      </c>
      <c r="B9" s="221"/>
      <c r="C9" s="221"/>
      <c r="D9" s="221"/>
      <c r="E9" s="221"/>
      <c r="F9" s="81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D12*4*$H$10</f>
        <v>435.36000000000007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D13*4*$H$10</f>
        <v>565.96800000000007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326</v>
      </c>
      <c r="E14" s="13">
        <f>0.23*8*H10+1.47*4*H10</f>
        <v>2100.6120000000001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1850.2800000000002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324</v>
      </c>
      <c r="E16" s="13">
        <v>2527.85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327</v>
      </c>
      <c r="E17" s="13">
        <f>7.33*$H$10*8+7.63*4*H10</f>
        <v>24260.436000000002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2.48*$H$10*8+3.18*4*H10</f>
        <v>8859.5760000000009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0.27</v>
      </c>
      <c r="E19" s="13">
        <f t="shared" ref="E19" si="0">D19*$H$10*12</f>
        <v>881.60400000000016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0.74*$H$10*8+0.98*4*H10</f>
        <v>2677.4639999999999</v>
      </c>
      <c r="F20" s="40"/>
    </row>
    <row r="21" spans="1:7" ht="25.5">
      <c r="A21" s="14" t="s">
        <v>69</v>
      </c>
      <c r="B21" s="11" t="s">
        <v>19</v>
      </c>
      <c r="C21" s="11" t="s">
        <v>8</v>
      </c>
      <c r="D21" s="84" t="s">
        <v>255</v>
      </c>
      <c r="E21" s="13">
        <f>0.41*$H$10*8+0.61*4*H10</f>
        <v>1556.4120000000003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0.3*8*H10+0.35*4*H10</f>
        <v>1033.98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316</v>
      </c>
      <c r="E23" s="13">
        <f>0.53*8*H10+1.61*4*H10</f>
        <v>2906.0280000000002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49655.570000000007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0.75" customHeight="1">
      <c r="A26" s="221" t="s">
        <v>450</v>
      </c>
      <c r="B26" s="221"/>
      <c r="C26" s="221"/>
      <c r="D26" s="221"/>
      <c r="E26" s="221"/>
      <c r="F26" s="81"/>
    </row>
    <row r="27" spans="1:7">
      <c r="A27" s="140"/>
      <c r="B27" s="140"/>
      <c r="C27" s="140"/>
      <c r="D27" s="140"/>
      <c r="E27" s="141"/>
      <c r="F27" s="6"/>
    </row>
    <row r="28" spans="1:7" ht="46.5" customHeight="1">
      <c r="A28" s="221" t="s">
        <v>451</v>
      </c>
      <c r="B28" s="221"/>
      <c r="C28" s="221"/>
      <c r="D28" s="221"/>
      <c r="E28" s="221"/>
      <c r="F28" s="8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221" t="s">
        <v>103</v>
      </c>
      <c r="B30" s="221"/>
      <c r="C30" s="221"/>
      <c r="D30" s="221"/>
      <c r="E30" s="221"/>
      <c r="F30" s="82"/>
    </row>
    <row r="31" spans="1:7">
      <c r="A31" s="135"/>
      <c r="B31" s="135"/>
      <c r="C31" s="135"/>
      <c r="D31" s="135"/>
      <c r="E31" s="135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8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8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5" spans="1:1">
      <c r="A75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6"/>
  <sheetViews>
    <sheetView topLeftCell="A10" workbookViewId="0">
      <selection activeCell="F14" sqref="F14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86"/>
    </row>
    <row r="2" spans="1:8" ht="41.25" customHeight="1">
      <c r="A2" s="225" t="s">
        <v>1</v>
      </c>
      <c r="B2" s="225"/>
      <c r="C2" s="225"/>
      <c r="D2" s="225"/>
      <c r="E2" s="225"/>
      <c r="F2" s="87"/>
    </row>
    <row r="3" spans="1:8">
      <c r="A3" s="1"/>
      <c r="B3" s="1"/>
      <c r="C3" s="1"/>
      <c r="D3" s="1"/>
      <c r="E3" s="2"/>
      <c r="F3" s="2"/>
    </row>
    <row r="4" spans="1:8" ht="15" customHeight="1">
      <c r="A4" s="89" t="s">
        <v>2</v>
      </c>
      <c r="B4" s="1"/>
      <c r="C4" s="1"/>
      <c r="D4" s="226" t="s">
        <v>209</v>
      </c>
      <c r="E4" s="226"/>
      <c r="F4" s="8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159</v>
      </c>
      <c r="B7" s="221"/>
      <c r="C7" s="221"/>
      <c r="D7" s="221"/>
      <c r="E7" s="221"/>
      <c r="F7" s="89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70</v>
      </c>
      <c r="B9" s="221"/>
      <c r="C9" s="221"/>
      <c r="D9" s="221"/>
      <c r="E9" s="221"/>
      <c r="F9" s="89"/>
    </row>
    <row r="10" spans="1:8" ht="15.75" thickBot="1">
      <c r="A10" s="5"/>
      <c r="B10" s="5"/>
      <c r="C10" s="5"/>
      <c r="D10" s="5"/>
      <c r="E10" s="6"/>
      <c r="F10" s="6"/>
      <c r="H10">
        <v>274.60000000000002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208</v>
      </c>
      <c r="B12" s="12" t="s">
        <v>137</v>
      </c>
      <c r="C12" s="11" t="s">
        <v>8</v>
      </c>
      <c r="D12" s="15">
        <v>0.52</v>
      </c>
      <c r="E12" s="181">
        <f>D12*4*$H$10</f>
        <v>571.16800000000012</v>
      </c>
      <c r="F12" s="39"/>
    </row>
    <row r="13" spans="1:8" ht="51">
      <c r="A13" s="14" t="s">
        <v>10</v>
      </c>
      <c r="B13" s="11" t="s">
        <v>115</v>
      </c>
      <c r="C13" s="11" t="s">
        <v>12</v>
      </c>
      <c r="D13" s="12">
        <v>1.46</v>
      </c>
      <c r="E13" s="13">
        <f>1.46*12*H10</f>
        <v>4810.9920000000002</v>
      </c>
      <c r="F13" s="40"/>
      <c r="G13" s="117"/>
    </row>
    <row r="14" spans="1:8" ht="51">
      <c r="A14" s="14" t="s">
        <v>37</v>
      </c>
      <c r="B14" s="11" t="s">
        <v>17</v>
      </c>
      <c r="C14" s="11" t="s">
        <v>8</v>
      </c>
      <c r="D14" s="12" t="s">
        <v>166</v>
      </c>
      <c r="E14" s="13">
        <f>1.04*7*H10+0.6*5*H10</f>
        <v>2822.8880000000004</v>
      </c>
      <c r="F14" s="40"/>
    </row>
    <row r="15" spans="1:8" ht="51">
      <c r="A15" s="14" t="s">
        <v>13</v>
      </c>
      <c r="B15" s="11" t="s">
        <v>115</v>
      </c>
      <c r="C15" s="11" t="s">
        <v>14</v>
      </c>
      <c r="D15" s="12">
        <v>0.77</v>
      </c>
      <c r="E15" s="13">
        <f>D15*12*H10</f>
        <v>2537.3040000000001</v>
      </c>
      <c r="F15" s="40"/>
      <c r="G15" s="117"/>
    </row>
    <row r="16" spans="1:8" ht="25.5">
      <c r="A16" s="14" t="s">
        <v>15</v>
      </c>
      <c r="B16" s="11" t="s">
        <v>115</v>
      </c>
      <c r="C16" s="11" t="s">
        <v>8</v>
      </c>
      <c r="D16" s="11" t="s">
        <v>328</v>
      </c>
      <c r="E16" s="13">
        <f>6.88*$H$10*7+6.53*5*H10</f>
        <v>22190.425999999999</v>
      </c>
      <c r="F16" s="40"/>
    </row>
    <row r="17" spans="1:7">
      <c r="A17" s="14" t="s">
        <v>32</v>
      </c>
      <c r="B17" s="11" t="s">
        <v>17</v>
      </c>
      <c r="C17" s="11" t="s">
        <v>8</v>
      </c>
      <c r="D17" s="12" t="s">
        <v>214</v>
      </c>
      <c r="E17" s="13">
        <f>3.18*12*H10</f>
        <v>10478.736000000003</v>
      </c>
      <c r="F17" s="40"/>
    </row>
    <row r="18" spans="1:7">
      <c r="A18" s="14" t="s">
        <v>36</v>
      </c>
      <c r="B18" s="11" t="s">
        <v>115</v>
      </c>
      <c r="C18" s="11" t="s">
        <v>8</v>
      </c>
      <c r="D18" s="12">
        <v>0.65</v>
      </c>
      <c r="E18" s="13">
        <f>0.65*12*H10</f>
        <v>2141.8800000000006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>
        <v>0.98</v>
      </c>
      <c r="E19" s="13">
        <f>0.98*12*H10</f>
        <v>3229.2960000000003</v>
      </c>
      <c r="F19" s="40"/>
    </row>
    <row r="20" spans="1:7" ht="25.5">
      <c r="A20" s="14" t="s">
        <v>69</v>
      </c>
      <c r="B20" s="11" t="s">
        <v>19</v>
      </c>
      <c r="C20" s="11" t="s">
        <v>8</v>
      </c>
      <c r="D20" s="84">
        <v>0.61</v>
      </c>
      <c r="E20" s="13">
        <f>0.65*12*H10</f>
        <v>2141.8800000000006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1153.32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1.61*H10*12</f>
        <v>5305.2720000000008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57383.161999999997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221" t="s">
        <v>522</v>
      </c>
      <c r="B25" s="221"/>
      <c r="C25" s="221"/>
      <c r="D25" s="221"/>
      <c r="E25" s="221"/>
      <c r="F25" s="89"/>
    </row>
    <row r="26" spans="1:7">
      <c r="A26" s="140"/>
      <c r="B26" s="140"/>
      <c r="C26" s="140"/>
      <c r="D26" s="140"/>
      <c r="E26" s="141"/>
      <c r="F26" s="6"/>
    </row>
    <row r="27" spans="1:7" ht="32.25" customHeight="1">
      <c r="A27" s="221" t="s">
        <v>452</v>
      </c>
      <c r="B27" s="221"/>
      <c r="C27" s="221"/>
      <c r="D27" s="221"/>
      <c r="E27" s="221"/>
      <c r="F27" s="89"/>
    </row>
    <row r="28" spans="1:7">
      <c r="A28" s="5"/>
      <c r="B28" s="5"/>
      <c r="C28" s="5"/>
      <c r="D28" s="5"/>
      <c r="E28" s="6"/>
      <c r="F28" s="6"/>
    </row>
    <row r="29" spans="1:7" ht="33" customHeight="1">
      <c r="A29" s="221" t="s">
        <v>103</v>
      </c>
      <c r="B29" s="221"/>
      <c r="C29" s="221"/>
      <c r="D29" s="221"/>
      <c r="E29" s="221"/>
      <c r="F29" s="90"/>
    </row>
    <row r="30" spans="1:7">
      <c r="A30" s="135"/>
      <c r="B30" s="135"/>
      <c r="C30" s="135"/>
      <c r="D30" s="135"/>
      <c r="E30" s="135"/>
      <c r="F30" s="6"/>
    </row>
    <row r="31" spans="1:7" ht="28.5" customHeight="1">
      <c r="A31" s="221" t="s">
        <v>24</v>
      </c>
      <c r="B31" s="221"/>
      <c r="C31" s="221"/>
      <c r="D31" s="221"/>
      <c r="E31" s="221"/>
      <c r="F31" s="89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23" t="s">
        <v>25</v>
      </c>
      <c r="B34" s="223"/>
      <c r="C34" s="223"/>
      <c r="D34" s="223"/>
      <c r="E34" s="223"/>
      <c r="F34" s="91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220" t="s">
        <v>29</v>
      </c>
      <c r="C37" s="220"/>
      <c r="D37" s="220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6" spans="1:1">
      <c r="A66" t="s">
        <v>111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opLeftCell="A13" workbookViewId="0">
      <selection activeCell="I30" sqref="I30:L40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221" t="s">
        <v>122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34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586.6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0.4*5*G10</f>
        <v>1173.2</v>
      </c>
    </row>
    <row r="13" spans="1:7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D13*5*G10</f>
        <v>1525.16</v>
      </c>
    </row>
    <row r="14" spans="1:7" ht="51">
      <c r="A14" s="14" t="s">
        <v>10</v>
      </c>
      <c r="B14" s="11" t="s">
        <v>115</v>
      </c>
      <c r="C14" s="11" t="s">
        <v>12</v>
      </c>
      <c r="D14" s="12" t="s">
        <v>235</v>
      </c>
      <c r="E14" s="13">
        <v>3450</v>
      </c>
    </row>
    <row r="15" spans="1:7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1.04*$G$10*7+0.6*5*G10</f>
        <v>6030.2480000000005</v>
      </c>
    </row>
    <row r="16" spans="1:7" ht="51">
      <c r="A16" s="14" t="s">
        <v>13</v>
      </c>
      <c r="B16" s="11" t="s">
        <v>115</v>
      </c>
      <c r="C16" s="11" t="s">
        <v>14</v>
      </c>
      <c r="D16" s="12" t="s">
        <v>234</v>
      </c>
      <c r="E16" s="13">
        <v>5019.04</v>
      </c>
    </row>
    <row r="17" spans="1:8" ht="42" customHeight="1">
      <c r="A17" s="14" t="s">
        <v>15</v>
      </c>
      <c r="B17" s="11" t="s">
        <v>115</v>
      </c>
      <c r="C17" s="11" t="s">
        <v>8</v>
      </c>
      <c r="D17" s="11" t="s">
        <v>236</v>
      </c>
      <c r="E17" s="13">
        <f>5.4*$G$10*7+7.28*5*G10</f>
        <v>43525.72</v>
      </c>
    </row>
    <row r="18" spans="1:8" ht="31.5" customHeight="1">
      <c r="A18" s="14" t="s">
        <v>38</v>
      </c>
      <c r="B18" s="11" t="s">
        <v>115</v>
      </c>
      <c r="C18" s="11" t="s">
        <v>8</v>
      </c>
      <c r="D18" s="11" t="s">
        <v>237</v>
      </c>
      <c r="E18" s="13">
        <f>0.92*$G$10*7+0.97*5*G10</f>
        <v>6622.7139999999999</v>
      </c>
    </row>
    <row r="19" spans="1:8">
      <c r="A19" s="14" t="s">
        <v>32</v>
      </c>
      <c r="B19" s="11" t="s">
        <v>17</v>
      </c>
      <c r="C19" s="11" t="s">
        <v>8</v>
      </c>
      <c r="D19" s="12" t="s">
        <v>214</v>
      </c>
      <c r="E19" s="13">
        <f>2.48*$G$10*7+3.18*5*G10</f>
        <v>19510.315999999999</v>
      </c>
    </row>
    <row r="20" spans="1:8">
      <c r="A20" s="14" t="s">
        <v>36</v>
      </c>
      <c r="B20" s="11" t="s">
        <v>115</v>
      </c>
      <c r="C20" s="11" t="s">
        <v>8</v>
      </c>
      <c r="D20" s="12" t="s">
        <v>238</v>
      </c>
      <c r="E20" s="13">
        <f>0.25*$G$10*7+0.3*5*G10</f>
        <v>1906.45</v>
      </c>
    </row>
    <row r="21" spans="1:8" ht="25.5">
      <c r="A21" s="14" t="s">
        <v>18</v>
      </c>
      <c r="B21" s="11" t="s">
        <v>19</v>
      </c>
      <c r="C21" s="11" t="s">
        <v>8</v>
      </c>
      <c r="D21" s="12" t="s">
        <v>215</v>
      </c>
      <c r="E21" s="13">
        <f>0.81*$G$10*7+0.98*5*G10</f>
        <v>6200.362000000001</v>
      </c>
    </row>
    <row r="22" spans="1:8" ht="25.5">
      <c r="A22" s="14" t="s">
        <v>20</v>
      </c>
      <c r="B22" s="11" t="s">
        <v>19</v>
      </c>
      <c r="C22" s="11" t="s">
        <v>8</v>
      </c>
      <c r="D22" s="15" t="s">
        <v>239</v>
      </c>
      <c r="E22" s="13">
        <f>0.45*$G$10*7+0.61*5*G10</f>
        <v>3636.92</v>
      </c>
    </row>
    <row r="23" spans="1:8" ht="25.5">
      <c r="A23" s="14" t="s">
        <v>21</v>
      </c>
      <c r="B23" s="11" t="s">
        <v>19</v>
      </c>
      <c r="C23" s="11" t="s">
        <v>8</v>
      </c>
      <c r="D23" s="11" t="s">
        <v>217</v>
      </c>
      <c r="E23" s="13">
        <f>0.31*7*G10+0.35*5*G10</f>
        <v>2299.4719999999998</v>
      </c>
    </row>
    <row r="24" spans="1:8" ht="25.5">
      <c r="A24" s="14" t="s">
        <v>22</v>
      </c>
      <c r="B24" s="11" t="s">
        <v>17</v>
      </c>
      <c r="C24" s="11" t="s">
        <v>8</v>
      </c>
      <c r="D24" s="11" t="s">
        <v>240</v>
      </c>
      <c r="E24" s="13">
        <f>0.54*7*G10+1.33*5*G10</f>
        <v>6118.2380000000012</v>
      </c>
      <c r="H24" s="117"/>
    </row>
    <row r="25" spans="1:8" ht="25.5">
      <c r="A25" s="21" t="s">
        <v>241</v>
      </c>
      <c r="B25" s="22" t="s">
        <v>115</v>
      </c>
      <c r="C25" s="11" t="s">
        <v>8</v>
      </c>
      <c r="D25" s="22">
        <v>2.84</v>
      </c>
      <c r="E25" s="23">
        <f>D25*5*G10</f>
        <v>8329.7199999999993</v>
      </c>
      <c r="H25" s="117"/>
    </row>
    <row r="26" spans="1:8" ht="19.5" thickBot="1">
      <c r="A26" s="16" t="s">
        <v>35</v>
      </c>
      <c r="B26" s="17"/>
      <c r="C26" s="17"/>
      <c r="D26" s="18"/>
      <c r="E26" s="116">
        <f>SUM(E12:E25)</f>
        <v>115347.55999999998</v>
      </c>
    </row>
    <row r="27" spans="1:8">
      <c r="A27" s="5"/>
      <c r="B27" s="5"/>
      <c r="C27" s="5"/>
      <c r="D27" s="5"/>
      <c r="E27" s="6"/>
    </row>
    <row r="28" spans="1:8" ht="32.25" customHeight="1">
      <c r="A28" s="221" t="s">
        <v>421</v>
      </c>
      <c r="B28" s="221"/>
      <c r="C28" s="221"/>
      <c r="D28" s="221"/>
      <c r="E28" s="221"/>
    </row>
    <row r="29" spans="1:8">
      <c r="A29" s="140"/>
      <c r="B29" s="140"/>
      <c r="C29" s="140"/>
      <c r="D29" s="140"/>
      <c r="E29" s="141"/>
    </row>
    <row r="30" spans="1:8" ht="33" customHeight="1">
      <c r="A30" s="221" t="s">
        <v>308</v>
      </c>
      <c r="B30" s="221"/>
      <c r="C30" s="221"/>
      <c r="D30" s="221"/>
      <c r="E30" s="221"/>
    </row>
    <row r="31" spans="1:8">
      <c r="A31" s="142"/>
      <c r="B31" s="142"/>
      <c r="C31" s="142"/>
      <c r="D31" s="142"/>
      <c r="E31" s="142"/>
    </row>
    <row r="32" spans="1:8" ht="32.25" customHeight="1">
      <c r="A32" s="221" t="s">
        <v>103</v>
      </c>
      <c r="B32" s="221"/>
      <c r="C32" s="221"/>
      <c r="D32" s="221"/>
      <c r="E32" s="221"/>
    </row>
    <row r="33" spans="1:5">
      <c r="A33" s="5"/>
      <c r="B33" s="5"/>
      <c r="C33" s="5"/>
      <c r="D33" s="5"/>
      <c r="E33" s="6"/>
    </row>
    <row r="34" spans="1:5">
      <c r="A34" s="222" t="s">
        <v>49</v>
      </c>
      <c r="B34" s="222"/>
      <c r="C34" s="222"/>
      <c r="D34" s="222"/>
      <c r="E34" s="222"/>
    </row>
    <row r="35" spans="1:5">
      <c r="A35" s="5"/>
      <c r="B35" s="5"/>
      <c r="C35" s="5"/>
      <c r="D35" s="5"/>
      <c r="E35" s="6"/>
    </row>
    <row r="36" spans="1:5" ht="28.5" customHeight="1">
      <c r="A36" s="221" t="s">
        <v>24</v>
      </c>
      <c r="B36" s="221"/>
      <c r="C36" s="221"/>
      <c r="D36" s="221"/>
      <c r="E36" s="221"/>
    </row>
    <row r="37" spans="1:5">
      <c r="A37" s="5"/>
      <c r="B37" s="5"/>
      <c r="C37" s="5"/>
      <c r="D37" s="5"/>
      <c r="E37" s="6"/>
    </row>
    <row r="38" spans="1:5">
      <c r="A38" s="5"/>
      <c r="B38" s="5"/>
      <c r="C38" s="5"/>
      <c r="D38" s="5"/>
      <c r="E38" s="6"/>
    </row>
    <row r="39" spans="1:5">
      <c r="A39" s="223" t="s">
        <v>25</v>
      </c>
      <c r="B39" s="223"/>
      <c r="C39" s="223"/>
      <c r="D39" s="223"/>
      <c r="E39" s="223"/>
    </row>
    <row r="40" spans="1:5">
      <c r="A40" s="5"/>
      <c r="B40" s="5"/>
      <c r="C40" s="5"/>
      <c r="D40" s="5"/>
      <c r="E40" s="6"/>
    </row>
    <row r="41" spans="1:5">
      <c r="A41" s="5" t="s">
        <v>26</v>
      </c>
      <c r="B41" s="5" t="s">
        <v>27</v>
      </c>
      <c r="C41" s="5"/>
      <c r="D41" s="5"/>
      <c r="E41" s="6" t="s">
        <v>28</v>
      </c>
    </row>
    <row r="42" spans="1:5">
      <c r="A42" s="5"/>
      <c r="B42" s="220" t="s">
        <v>29</v>
      </c>
      <c r="C42" s="220"/>
      <c r="D42" s="220"/>
      <c r="E42" s="6" t="s">
        <v>30</v>
      </c>
    </row>
    <row r="43" spans="1:5">
      <c r="A43" s="5"/>
      <c r="B43" s="5"/>
      <c r="C43" s="5"/>
      <c r="D43" s="5"/>
      <c r="E43" s="6"/>
    </row>
    <row r="44" spans="1:5">
      <c r="A44" s="5"/>
      <c r="B44" s="5"/>
      <c r="C44" s="5"/>
      <c r="D44" s="5"/>
      <c r="E44" s="6"/>
    </row>
    <row r="45" spans="1:5">
      <c r="A45" s="5" t="s">
        <v>31</v>
      </c>
      <c r="B45" s="5" t="s">
        <v>27</v>
      </c>
      <c r="C45" s="5"/>
      <c r="D45" s="5"/>
      <c r="E45" s="6" t="s">
        <v>28</v>
      </c>
    </row>
    <row r="46" spans="1:5">
      <c r="A46" s="5"/>
      <c r="B46" s="220" t="s">
        <v>29</v>
      </c>
      <c r="C46" s="220"/>
      <c r="D46" s="220"/>
      <c r="E46" s="6" t="s">
        <v>30</v>
      </c>
    </row>
    <row r="47" spans="1:5">
      <c r="A47" s="5"/>
      <c r="B47" s="5"/>
      <c r="C47" s="5"/>
      <c r="D47" s="5"/>
      <c r="E47" s="6"/>
    </row>
  </sheetData>
  <mergeCells count="13">
    <mergeCell ref="B46:D46"/>
    <mergeCell ref="A1:E1"/>
    <mergeCell ref="A2:E2"/>
    <mergeCell ref="D4:E4"/>
    <mergeCell ref="A7:E7"/>
    <mergeCell ref="A9:E9"/>
    <mergeCell ref="A28:E28"/>
    <mergeCell ref="A32:E32"/>
    <mergeCell ref="A34:E34"/>
    <mergeCell ref="A36:E36"/>
    <mergeCell ref="A39:E39"/>
    <mergeCell ref="B42:D42"/>
    <mergeCell ref="A30:E30"/>
  </mergeCells>
  <pageMargins left="0.24" right="0.21" top="0.18" bottom="0.32" header="0.16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75"/>
  <sheetViews>
    <sheetView topLeftCell="A10" workbookViewId="0">
      <selection activeCell="G26" sqref="G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2"/>
    </row>
    <row r="2" spans="1:8" ht="36" customHeight="1">
      <c r="A2" s="225" t="s">
        <v>1</v>
      </c>
      <c r="B2" s="225"/>
      <c r="C2" s="225"/>
      <c r="D2" s="225"/>
      <c r="E2" s="225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26" t="s">
        <v>209</v>
      </c>
      <c r="E4" s="226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160</v>
      </c>
      <c r="B7" s="221"/>
      <c r="C7" s="221"/>
      <c r="D7" s="221"/>
      <c r="E7" s="221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72</v>
      </c>
      <c r="B9" s="221"/>
      <c r="C9" s="221"/>
      <c r="D9" s="221"/>
      <c r="E9" s="221"/>
      <c r="F9" s="95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D12*5*$H$10</f>
        <v>547.4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D13*5*$H$10</f>
        <v>711.62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326</v>
      </c>
      <c r="E14" s="206">
        <f>H10*0.23*7+H10*1.47*5</f>
        <v>2452.3519999999999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1.04*$H$10*7+0.6*H10*5</f>
        <v>2813.636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324</v>
      </c>
      <c r="E16" s="13">
        <f>0.65*7*H10+0.77*5*H10</f>
        <v>2299.08</v>
      </c>
      <c r="F16" s="40"/>
      <c r="G16" s="117"/>
    </row>
    <row r="17" spans="1:7" ht="25.5">
      <c r="A17" s="14" t="s">
        <v>15</v>
      </c>
      <c r="B17" s="11" t="s">
        <v>17</v>
      </c>
      <c r="C17" s="11" t="s">
        <v>8</v>
      </c>
      <c r="D17" s="11" t="s">
        <v>330</v>
      </c>
      <c r="E17" s="13">
        <f>7.42*$H$10*7+9.87*5*H10</f>
        <v>27723.072999999997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9103.2619999999988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0.49</v>
      </c>
      <c r="E19" s="13">
        <f>D19*12*H10</f>
        <v>1609.356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0.81*$H$10*7+0.98*5*H10</f>
        <v>2893.009</v>
      </c>
      <c r="F20" s="40"/>
    </row>
    <row r="21" spans="1:7" ht="25.5">
      <c r="A21" s="14" t="s">
        <v>69</v>
      </c>
      <c r="B21" s="11" t="s">
        <v>19</v>
      </c>
      <c r="C21" s="11" t="s">
        <v>8</v>
      </c>
      <c r="D21" s="84" t="s">
        <v>239</v>
      </c>
      <c r="E21" s="13">
        <f>0.45*$H$10*7+H10*5*0.61</f>
        <v>1696.94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 t="s">
        <v>217</v>
      </c>
      <c r="E22" s="13">
        <f>0.31*7*H10+0.35*5*H10</f>
        <v>1072.904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316</v>
      </c>
      <c r="E23" s="13">
        <f>0.53*7*H10+1.61*5*H10</f>
        <v>3218.7120000000004</v>
      </c>
      <c r="F23" s="40"/>
      <c r="G23" s="117"/>
    </row>
    <row r="24" spans="1:7" ht="25.5">
      <c r="A24" s="21" t="s">
        <v>241</v>
      </c>
      <c r="B24" s="22"/>
      <c r="C24" s="11" t="s">
        <v>8</v>
      </c>
      <c r="D24" s="22">
        <v>2.44</v>
      </c>
      <c r="E24" s="13">
        <f>D24*5*H10</f>
        <v>3339.14</v>
      </c>
      <c r="F24" s="40"/>
      <c r="G24" s="117"/>
    </row>
    <row r="25" spans="1:7">
      <c r="A25" s="21" t="s">
        <v>329</v>
      </c>
      <c r="B25" s="22"/>
      <c r="C25" s="11" t="s">
        <v>203</v>
      </c>
      <c r="D25" s="22"/>
      <c r="E25" s="13">
        <v>4658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64138.483999999997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453</v>
      </c>
      <c r="B28" s="221"/>
      <c r="C28" s="221"/>
      <c r="D28" s="221"/>
      <c r="E28" s="221"/>
      <c r="F28" s="95"/>
    </row>
    <row r="29" spans="1:7">
      <c r="A29" s="140"/>
      <c r="B29" s="140"/>
      <c r="C29" s="140"/>
      <c r="D29" s="140"/>
      <c r="E29" s="141"/>
      <c r="F29" s="6"/>
    </row>
    <row r="30" spans="1:7" ht="32.25" customHeight="1">
      <c r="A30" s="221" t="s">
        <v>454</v>
      </c>
      <c r="B30" s="221"/>
      <c r="C30" s="221"/>
      <c r="D30" s="221"/>
      <c r="E30" s="221"/>
      <c r="F30" s="95"/>
    </row>
    <row r="31" spans="1:7">
      <c r="A31" s="5"/>
      <c r="B31" s="5"/>
      <c r="C31" s="5"/>
      <c r="D31" s="5"/>
      <c r="E31" s="6"/>
      <c r="F31" s="6"/>
    </row>
    <row r="32" spans="1:7" ht="30" customHeight="1">
      <c r="A32" s="221" t="s">
        <v>103</v>
      </c>
      <c r="B32" s="221"/>
      <c r="C32" s="221"/>
      <c r="D32" s="221"/>
      <c r="E32" s="221"/>
      <c r="F32" s="96"/>
    </row>
    <row r="33" spans="1:6">
      <c r="A33" s="136"/>
      <c r="B33" s="136"/>
      <c r="C33" s="136"/>
      <c r="D33" s="136"/>
      <c r="E33" s="136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95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97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  <row r="75" spans="1:1">
      <c r="A75" t="s">
        <v>111</v>
      </c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4"/>
  <sheetViews>
    <sheetView topLeftCell="A10" workbookViewId="0">
      <selection activeCell="F12" sqref="F12:H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86"/>
    </row>
    <row r="2" spans="1:8" ht="36" customHeight="1">
      <c r="A2" s="225" t="s">
        <v>1</v>
      </c>
      <c r="B2" s="225"/>
      <c r="C2" s="225"/>
      <c r="D2" s="225"/>
      <c r="E2" s="225"/>
      <c r="F2" s="87"/>
    </row>
    <row r="3" spans="1:8">
      <c r="A3" s="1"/>
      <c r="B3" s="1"/>
      <c r="C3" s="1"/>
      <c r="D3" s="1"/>
      <c r="E3" s="2"/>
      <c r="F3" s="2"/>
    </row>
    <row r="4" spans="1:8" ht="15" customHeight="1">
      <c r="A4" s="89" t="s">
        <v>2</v>
      </c>
      <c r="B4" s="1"/>
      <c r="C4" s="1"/>
      <c r="D4" s="226" t="s">
        <v>209</v>
      </c>
      <c r="E4" s="226"/>
      <c r="F4" s="8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161</v>
      </c>
      <c r="B7" s="221"/>
      <c r="C7" s="221"/>
      <c r="D7" s="221"/>
      <c r="E7" s="221"/>
      <c r="F7" s="89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71</v>
      </c>
      <c r="B9" s="221"/>
      <c r="C9" s="221"/>
      <c r="D9" s="221"/>
      <c r="E9" s="221"/>
      <c r="F9" s="89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0.6</v>
      </c>
      <c r="E12" s="13">
        <v>1950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>
        <v>0.6</v>
      </c>
      <c r="E13" s="13">
        <f t="shared" ref="E13:E18" si="0">D13*$H$10*12</f>
        <v>1959.1200000000003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0.75</v>
      </c>
      <c r="E14" s="144">
        <v>2453.19</v>
      </c>
      <c r="F14" s="40"/>
      <c r="G14" s="117"/>
    </row>
    <row r="15" spans="1:8" ht="29.25" customHeight="1">
      <c r="A15" s="14" t="s">
        <v>15</v>
      </c>
      <c r="B15" s="11" t="s">
        <v>17</v>
      </c>
      <c r="C15" s="11" t="s">
        <v>8</v>
      </c>
      <c r="D15" s="11">
        <v>6.68</v>
      </c>
      <c r="E15" s="13">
        <f t="shared" si="0"/>
        <v>21811.536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8097.6960000000017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0.49</v>
      </c>
      <c r="E17" s="13">
        <f>D17*$H$10*12</f>
        <v>1599.9480000000001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3199.8960000000002</v>
      </c>
      <c r="F18" s="40"/>
    </row>
    <row r="19" spans="1:7" ht="25.5" customHeight="1">
      <c r="A19" s="14" t="s">
        <v>66</v>
      </c>
      <c r="B19" s="11" t="s">
        <v>19</v>
      </c>
      <c r="C19" s="11" t="s">
        <v>8</v>
      </c>
      <c r="D19" s="84">
        <v>1.69</v>
      </c>
      <c r="E19" s="13">
        <f>D19*12*H10</f>
        <v>5518.188000000001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>D20*12*H10</f>
        <v>1142.82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f>D21*12*H10</f>
        <v>5256.9720000000007</v>
      </c>
      <c r="F21" s="40"/>
      <c r="G21" s="117"/>
    </row>
    <row r="22" spans="1:7" ht="19.5" thickBot="1">
      <c r="A22" s="16" t="s">
        <v>35</v>
      </c>
      <c r="B22" s="17"/>
      <c r="C22" s="17"/>
      <c r="D22" s="85"/>
      <c r="E22" s="116">
        <f>SUM(E12:E21)</f>
        <v>52989.366000000002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3.75" customHeight="1">
      <c r="A24" s="221" t="s">
        <v>523</v>
      </c>
      <c r="B24" s="221"/>
      <c r="C24" s="221"/>
      <c r="D24" s="221"/>
      <c r="E24" s="221"/>
      <c r="F24" s="89"/>
    </row>
    <row r="25" spans="1:7">
      <c r="A25" s="140"/>
      <c r="B25" s="140"/>
      <c r="C25" s="140"/>
      <c r="D25" s="140"/>
      <c r="E25" s="141"/>
      <c r="F25" s="6"/>
    </row>
    <row r="26" spans="1:7" ht="32.25" customHeight="1">
      <c r="A26" s="221" t="s">
        <v>455</v>
      </c>
      <c r="B26" s="221"/>
      <c r="C26" s="221"/>
      <c r="D26" s="221"/>
      <c r="E26" s="221"/>
      <c r="F26" s="89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221" t="s">
        <v>103</v>
      </c>
      <c r="B28" s="221"/>
      <c r="C28" s="221"/>
      <c r="D28" s="221"/>
      <c r="E28" s="221"/>
      <c r="F28" s="90"/>
    </row>
    <row r="29" spans="1:7">
      <c r="A29" s="136"/>
      <c r="B29" s="136"/>
      <c r="C29" s="136"/>
      <c r="D29" s="136"/>
      <c r="E29" s="136"/>
      <c r="F29" s="6"/>
    </row>
    <row r="30" spans="1:7" ht="28.5" customHeight="1">
      <c r="A30" s="221" t="s">
        <v>24</v>
      </c>
      <c r="B30" s="221"/>
      <c r="C30" s="221"/>
      <c r="D30" s="221"/>
      <c r="E30" s="221"/>
      <c r="F30" s="89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91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64" spans="1:1">
      <c r="A64" t="s">
        <v>111</v>
      </c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4"/>
  <sheetViews>
    <sheetView topLeftCell="A10" workbookViewId="0">
      <selection activeCell="F14" sqref="F14:G1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2"/>
    </row>
    <row r="2" spans="1:8" ht="36" customHeight="1">
      <c r="A2" s="225" t="s">
        <v>1</v>
      </c>
      <c r="B2" s="225"/>
      <c r="C2" s="225"/>
      <c r="D2" s="225"/>
      <c r="E2" s="225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26" t="s">
        <v>209</v>
      </c>
      <c r="E4" s="226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162</v>
      </c>
      <c r="B7" s="221"/>
      <c r="C7" s="221"/>
      <c r="D7" s="221"/>
      <c r="E7" s="221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73</v>
      </c>
      <c r="B9" s="221"/>
      <c r="C9" s="221"/>
      <c r="D9" s="221"/>
      <c r="E9" s="221"/>
      <c r="F9" s="95"/>
    </row>
    <row r="10" spans="1:8" ht="15.75" thickBot="1">
      <c r="A10" s="5"/>
      <c r="B10" s="5"/>
      <c r="C10" s="5"/>
      <c r="D10" s="5"/>
      <c r="E10" s="6"/>
      <c r="F10" s="6"/>
      <c r="H10">
        <v>278.89999999999998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D12*5*$H$10</f>
        <v>557.79999999999995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D13*5*$H$10</f>
        <v>725.14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1.08</v>
      </c>
      <c r="E14" s="13">
        <f>1.08*12*H10</f>
        <v>3614.5439999999999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0.55*7*H10+0.6*5*H10</f>
        <v>1910.4650000000001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0.76</v>
      </c>
      <c r="E16" s="13">
        <v>2543.59</v>
      </c>
      <c r="F16" s="40"/>
      <c r="G16" s="117"/>
    </row>
    <row r="17" spans="1:7" ht="25.5">
      <c r="A17" s="14" t="s">
        <v>15</v>
      </c>
      <c r="B17" s="11" t="s">
        <v>17</v>
      </c>
      <c r="C17" s="11" t="s">
        <v>8</v>
      </c>
      <c r="D17" s="11" t="s">
        <v>331</v>
      </c>
      <c r="E17" s="13">
        <f>7.61*$H$10*7+4.01*5*H10</f>
        <v>20448.948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2.48*7*H10+3.18*5*H10</f>
        <v>9276.2139999999999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0.49</v>
      </c>
      <c r="E19" s="13">
        <f t="shared" ref="E19" si="0">D19*$H$10*12</f>
        <v>1639.9319999999998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3279.8639999999996</v>
      </c>
      <c r="F20" s="40"/>
    </row>
    <row r="21" spans="1:7" ht="25.5">
      <c r="A21" s="14" t="s">
        <v>69</v>
      </c>
      <c r="B21" s="11" t="s">
        <v>19</v>
      </c>
      <c r="C21" s="11" t="s">
        <v>8</v>
      </c>
      <c r="D21" s="84">
        <v>0.61</v>
      </c>
      <c r="E21" s="13">
        <f>0.61*12*H10</f>
        <v>2041.548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1171.3799999999997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H10*12*1.61</f>
        <v>5388.348</v>
      </c>
      <c r="F23" s="40"/>
      <c r="G23" s="117"/>
    </row>
    <row r="24" spans="1:7" ht="25.5">
      <c r="A24" s="21" t="s">
        <v>356</v>
      </c>
      <c r="B24" s="22"/>
      <c r="C24" s="11" t="s">
        <v>8</v>
      </c>
      <c r="D24" s="22">
        <v>2.39</v>
      </c>
      <c r="E24" s="23">
        <f>D24*5*H10</f>
        <v>3332.855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55930.628000000004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524</v>
      </c>
      <c r="B27" s="221"/>
      <c r="C27" s="221"/>
      <c r="D27" s="221"/>
      <c r="E27" s="221"/>
      <c r="F27" s="95"/>
    </row>
    <row r="28" spans="1:7">
      <c r="A28" s="5"/>
      <c r="B28" s="5"/>
      <c r="C28" s="5"/>
      <c r="D28" s="5"/>
      <c r="E28" s="6"/>
      <c r="F28" s="6"/>
    </row>
    <row r="29" spans="1:7" ht="46.5" customHeight="1">
      <c r="A29" s="221" t="s">
        <v>366</v>
      </c>
      <c r="B29" s="221"/>
      <c r="C29" s="221"/>
      <c r="D29" s="221"/>
      <c r="E29" s="221"/>
      <c r="F29" s="95"/>
    </row>
    <row r="30" spans="1:7">
      <c r="A30" s="5"/>
      <c r="B30" s="5"/>
      <c r="C30" s="5"/>
      <c r="D30" s="5"/>
      <c r="E30" s="6"/>
      <c r="F30" s="6"/>
    </row>
    <row r="31" spans="1:7" ht="29.25" customHeight="1">
      <c r="A31" s="221" t="s">
        <v>103</v>
      </c>
      <c r="B31" s="221"/>
      <c r="C31" s="221"/>
      <c r="D31" s="221"/>
      <c r="E31" s="221"/>
      <c r="F31" s="96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9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4"/>
  <sheetViews>
    <sheetView topLeftCell="A8" workbookViewId="0">
      <selection activeCell="F16" sqref="F16:H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2"/>
    </row>
    <row r="2" spans="1:8" ht="36" customHeight="1">
      <c r="A2" s="225" t="s">
        <v>1</v>
      </c>
      <c r="B2" s="225"/>
      <c r="C2" s="225"/>
      <c r="D2" s="225"/>
      <c r="E2" s="225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26" t="s">
        <v>209</v>
      </c>
      <c r="E4" s="226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163</v>
      </c>
      <c r="B7" s="221"/>
      <c r="C7" s="221"/>
      <c r="D7" s="221"/>
      <c r="E7" s="221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74</v>
      </c>
      <c r="B9" s="221"/>
      <c r="C9" s="221"/>
      <c r="D9" s="221"/>
      <c r="E9" s="221"/>
      <c r="F9" s="95"/>
    </row>
    <row r="10" spans="1:8" ht="15.75" thickBot="1">
      <c r="A10" s="5"/>
      <c r="B10" s="5"/>
      <c r="C10" s="5"/>
      <c r="D10" s="5"/>
      <c r="E10" s="6"/>
      <c r="F10" s="6"/>
      <c r="H10">
        <v>367.9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D12*5*$H$10</f>
        <v>735.8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D13*5*$H$10</f>
        <v>956.54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 t="s">
        <v>332</v>
      </c>
      <c r="E14" s="13">
        <f>1.09*12*H10</f>
        <v>4812.1320000000005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0.6*12*H10</f>
        <v>2648.8799999999997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0.28999999999999998</v>
      </c>
      <c r="E16" s="13">
        <v>1296</v>
      </c>
      <c r="F16" s="40"/>
      <c r="G16" s="117"/>
    </row>
    <row r="17" spans="1:7" ht="25.5">
      <c r="A17" s="14" t="s">
        <v>15</v>
      </c>
      <c r="B17" s="11" t="s">
        <v>17</v>
      </c>
      <c r="C17" s="11" t="s">
        <v>8</v>
      </c>
      <c r="D17" s="11" t="s">
        <v>333</v>
      </c>
      <c r="E17" s="13">
        <f>6.4*$H$10*7+8.29*5*H10</f>
        <v>31731.374999999996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14039.064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0.24</v>
      </c>
      <c r="E19" s="13">
        <f t="shared" ref="E19" si="0">D19*$H$10*12</f>
        <v>1059.5519999999999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4326.5039999999999</v>
      </c>
      <c r="F20" s="40"/>
    </row>
    <row r="21" spans="1:7" ht="25.5">
      <c r="A21" s="14" t="s">
        <v>69</v>
      </c>
      <c r="B21" s="11" t="s">
        <v>19</v>
      </c>
      <c r="C21" s="11" t="s">
        <v>8</v>
      </c>
      <c r="D21" s="84">
        <v>0.98</v>
      </c>
      <c r="E21" s="13">
        <f>0.61*12*H10</f>
        <v>2693.0279999999998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1545.1799999999996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7107.8279999999995</v>
      </c>
      <c r="F23" s="40"/>
      <c r="G23" s="117"/>
    </row>
    <row r="24" spans="1:7" ht="25.5">
      <c r="A24" s="21" t="s">
        <v>356</v>
      </c>
      <c r="B24" s="22"/>
      <c r="C24" s="11" t="s">
        <v>8</v>
      </c>
      <c r="D24" s="22">
        <v>1</v>
      </c>
      <c r="E24" s="23">
        <f>D24*5*H10</f>
        <v>1839.5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74791.382999999987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1.5" customHeight="1">
      <c r="A27" s="221" t="s">
        <v>525</v>
      </c>
      <c r="B27" s="221"/>
      <c r="C27" s="221"/>
      <c r="D27" s="221"/>
      <c r="E27" s="221"/>
      <c r="F27" s="95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221" t="s">
        <v>457</v>
      </c>
      <c r="B29" s="221"/>
      <c r="C29" s="221"/>
      <c r="D29" s="221"/>
      <c r="E29" s="221"/>
      <c r="F29" s="95"/>
    </row>
    <row r="30" spans="1:7">
      <c r="A30" s="5"/>
      <c r="B30" s="5"/>
      <c r="C30" s="5"/>
      <c r="D30" s="5"/>
      <c r="E30" s="6"/>
      <c r="F30" s="6"/>
    </row>
    <row r="31" spans="1:7" ht="33" customHeight="1">
      <c r="A31" s="221" t="s">
        <v>103</v>
      </c>
      <c r="B31" s="221"/>
      <c r="C31" s="221"/>
      <c r="D31" s="221"/>
      <c r="E31" s="221"/>
      <c r="F31" s="96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9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4"/>
  <sheetViews>
    <sheetView topLeftCell="A12" workbookViewId="0">
      <selection activeCell="F14" sqref="F14:G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2"/>
    </row>
    <row r="2" spans="1:8" ht="36" customHeight="1">
      <c r="A2" s="225" t="s">
        <v>1</v>
      </c>
      <c r="B2" s="225"/>
      <c r="C2" s="225"/>
      <c r="D2" s="225"/>
      <c r="E2" s="225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26" t="s">
        <v>209</v>
      </c>
      <c r="E4" s="226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164</v>
      </c>
      <c r="B7" s="221"/>
      <c r="C7" s="221"/>
      <c r="D7" s="221"/>
      <c r="E7" s="221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75</v>
      </c>
      <c r="B9" s="221"/>
      <c r="C9" s="221"/>
      <c r="D9" s="221"/>
      <c r="E9" s="221"/>
      <c r="F9" s="95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D12*4*$H$10</f>
        <v>437.92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D13*4*$H$10</f>
        <v>569.29600000000005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334</v>
      </c>
      <c r="E14" s="13">
        <v>2250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1861.1599999999999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335</v>
      </c>
      <c r="E16" s="13">
        <v>1925.76</v>
      </c>
      <c r="F16" s="40"/>
      <c r="G16" s="117"/>
    </row>
    <row r="17" spans="1:7" ht="33" customHeight="1">
      <c r="A17" s="14" t="s">
        <v>15</v>
      </c>
      <c r="B17" s="11" t="s">
        <v>17</v>
      </c>
      <c r="C17" s="11" t="s">
        <v>8</v>
      </c>
      <c r="D17" s="11" t="s">
        <v>336</v>
      </c>
      <c r="E17" s="13">
        <f>9.61*$H$10*8+10.64*4*H10</f>
        <v>32690.727999999996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2.48*$H$10*8+3.18*4*H10</f>
        <v>8911.6719999999987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 t="s">
        <v>337</v>
      </c>
      <c r="E19" s="13">
        <v>664.2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0.74*$H$10*8+0.98*4*H10</f>
        <v>2693.2079999999996</v>
      </c>
      <c r="F20" s="40"/>
    </row>
    <row r="21" spans="1:7" ht="25.5">
      <c r="A21" s="14" t="s">
        <v>66</v>
      </c>
      <c r="B21" s="11" t="s">
        <v>19</v>
      </c>
      <c r="C21" s="11" t="s">
        <v>8</v>
      </c>
      <c r="D21" s="84" t="s">
        <v>338</v>
      </c>
      <c r="E21" s="13">
        <v>5360.16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0.3*8*H10+0.35*4*H10</f>
        <v>1040.06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316</v>
      </c>
      <c r="E23" s="13">
        <v>5589.02</v>
      </c>
      <c r="F23" s="40"/>
      <c r="G23" s="117"/>
    </row>
    <row r="24" spans="1:7" ht="25.5">
      <c r="A24" s="21" t="s">
        <v>456</v>
      </c>
      <c r="B24" s="22"/>
      <c r="C24" s="22" t="s">
        <v>203</v>
      </c>
      <c r="D24" s="22">
        <v>2.2400000000000002</v>
      </c>
      <c r="E24" s="23">
        <f>D24*4*H10</f>
        <v>2452.3520000000003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66445.535999999993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3.75" customHeight="1">
      <c r="A27" s="221" t="s">
        <v>458</v>
      </c>
      <c r="B27" s="221"/>
      <c r="C27" s="221"/>
      <c r="D27" s="221"/>
      <c r="E27" s="221"/>
      <c r="F27" s="95"/>
    </row>
    <row r="28" spans="1:7">
      <c r="A28" s="5"/>
      <c r="B28" s="5"/>
      <c r="C28" s="5"/>
      <c r="D28" s="5"/>
      <c r="E28" s="6"/>
      <c r="F28" s="6"/>
    </row>
    <row r="29" spans="1:7" ht="32.25" customHeight="1">
      <c r="A29" s="221" t="s">
        <v>459</v>
      </c>
      <c r="B29" s="221"/>
      <c r="C29" s="221"/>
      <c r="D29" s="221"/>
      <c r="E29" s="221"/>
      <c r="F29" s="95"/>
    </row>
    <row r="30" spans="1:7">
      <c r="A30" s="5"/>
      <c r="B30" s="5"/>
      <c r="C30" s="5"/>
      <c r="D30" s="5"/>
      <c r="E30" s="6"/>
      <c r="F30" s="6"/>
    </row>
    <row r="31" spans="1:7" ht="31.5" customHeight="1">
      <c r="A31" s="221" t="s">
        <v>103</v>
      </c>
      <c r="B31" s="221"/>
      <c r="C31" s="221"/>
      <c r="D31" s="221"/>
      <c r="E31" s="221"/>
      <c r="F31" s="96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9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4"/>
  <sheetViews>
    <sheetView topLeftCell="A6" workbookViewId="0">
      <selection activeCell="F16" sqref="F16:H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2"/>
    </row>
    <row r="2" spans="1:8" ht="36" customHeight="1">
      <c r="A2" s="225" t="s">
        <v>1</v>
      </c>
      <c r="B2" s="225"/>
      <c r="C2" s="225"/>
      <c r="D2" s="225"/>
      <c r="E2" s="225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26" t="s">
        <v>209</v>
      </c>
      <c r="E4" s="226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165</v>
      </c>
      <c r="B7" s="221"/>
      <c r="C7" s="221"/>
      <c r="D7" s="221"/>
      <c r="E7" s="221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76</v>
      </c>
      <c r="B9" s="221"/>
      <c r="C9" s="221"/>
      <c r="D9" s="221"/>
      <c r="E9" s="221"/>
      <c r="F9" s="95"/>
    </row>
    <row r="10" spans="1:8" ht="15.75" thickBot="1">
      <c r="A10" s="5"/>
      <c r="B10" s="5"/>
      <c r="C10" s="5"/>
      <c r="D10" s="5"/>
      <c r="E10" s="6"/>
      <c r="F10" s="6"/>
      <c r="H10">
        <v>272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D12*H10*6</f>
        <v>652.80000000000007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D13*H10*6</f>
        <v>848.64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1.47</v>
      </c>
      <c r="E14" s="13">
        <f>272*12*1.47</f>
        <v>4798.08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>
        <v>0.6</v>
      </c>
      <c r="E15" s="13">
        <f>H10*8*1.04+H10*0.6*4</f>
        <v>2915.84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0.69</v>
      </c>
      <c r="E16" s="13">
        <v>2500.66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339</v>
      </c>
      <c r="E17" s="13">
        <f>H10*6*8.35+H10*6*4.47</f>
        <v>20922.239999999998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3.48</v>
      </c>
      <c r="E18" s="13">
        <f>D18*12*H10</f>
        <v>11358.72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0.43</v>
      </c>
      <c r="E19" s="13">
        <v>735.36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0.89</v>
      </c>
      <c r="E20" s="13">
        <f>D20*12*H10</f>
        <v>2904.96</v>
      </c>
      <c r="F20" s="40"/>
    </row>
    <row r="21" spans="1:7" ht="25.5">
      <c r="A21" s="14" t="s">
        <v>66</v>
      </c>
      <c r="B21" s="11" t="s">
        <v>19</v>
      </c>
      <c r="C21" s="11" t="s">
        <v>8</v>
      </c>
      <c r="D21" s="84">
        <v>1.69</v>
      </c>
      <c r="E21" s="13">
        <f>D21*12*H10</f>
        <v>5516.16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0.32</v>
      </c>
      <c r="E22" s="13">
        <f>D22*12*H10</f>
        <v>1044.48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1.66</v>
      </c>
      <c r="E23" s="13">
        <f>D23*12*H10</f>
        <v>5418.24</v>
      </c>
      <c r="F23" s="40"/>
      <c r="G23" s="117"/>
    </row>
    <row r="24" spans="1:7" ht="38.25">
      <c r="A24" s="134" t="s">
        <v>108</v>
      </c>
      <c r="B24" s="11" t="s">
        <v>115</v>
      </c>
      <c r="C24" s="11" t="s">
        <v>8</v>
      </c>
      <c r="D24" s="11">
        <v>2.94</v>
      </c>
      <c r="E24" s="13">
        <f>D24*$H$10*12</f>
        <v>9596.16</v>
      </c>
      <c r="F24" s="40"/>
    </row>
    <row r="25" spans="1:7" ht="19.5" thickBot="1">
      <c r="A25" s="16" t="s">
        <v>35</v>
      </c>
      <c r="B25" s="17"/>
      <c r="C25" s="17"/>
      <c r="D25" s="85"/>
      <c r="E25" s="116">
        <f>SUM(E12:E24)</f>
        <v>69212.34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461</v>
      </c>
      <c r="B27" s="221"/>
      <c r="C27" s="221"/>
      <c r="D27" s="221"/>
      <c r="E27" s="221"/>
      <c r="F27" s="95"/>
    </row>
    <row r="28" spans="1:7">
      <c r="A28" s="5"/>
      <c r="B28" s="5"/>
      <c r="C28" s="5"/>
      <c r="D28" s="5"/>
      <c r="E28" s="6"/>
      <c r="F28" s="6"/>
    </row>
    <row r="29" spans="1:7" ht="32.25" customHeight="1">
      <c r="A29" s="221" t="s">
        <v>460</v>
      </c>
      <c r="B29" s="221"/>
      <c r="C29" s="221"/>
      <c r="D29" s="221"/>
      <c r="E29" s="221"/>
      <c r="F29" s="95"/>
    </row>
    <row r="30" spans="1:7">
      <c r="A30" s="5"/>
      <c r="B30" s="5"/>
      <c r="C30" s="5"/>
      <c r="D30" s="5"/>
      <c r="E30" s="6"/>
      <c r="F30" s="6"/>
    </row>
    <row r="31" spans="1:7" ht="30" customHeight="1">
      <c r="A31" s="221" t="s">
        <v>103</v>
      </c>
      <c r="B31" s="221"/>
      <c r="C31" s="221"/>
      <c r="D31" s="221"/>
      <c r="E31" s="221"/>
      <c r="F31" s="96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9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4"/>
  <sheetViews>
    <sheetView topLeftCell="A18" workbookViewId="0">
      <selection activeCell="E41" sqref="E41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167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77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436.6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D12*H10*5</f>
        <v>873.2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>D13*H10*5</f>
        <v>1135.1600000000001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340</v>
      </c>
      <c r="E14" s="13">
        <f>0.42*7*H10+1.37*5*H10</f>
        <v>4274.3140000000003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1.04*$H$10*7+0.6*5*H10</f>
        <v>4488.2480000000005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341</v>
      </c>
      <c r="E16" s="13">
        <v>956.99</v>
      </c>
      <c r="F16" s="40"/>
      <c r="G16" s="117"/>
    </row>
    <row r="17" spans="1:10" ht="25.5">
      <c r="A17" s="14" t="s">
        <v>15</v>
      </c>
      <c r="B17" s="11" t="s">
        <v>115</v>
      </c>
      <c r="C17" s="11" t="s">
        <v>8</v>
      </c>
      <c r="D17" s="11" t="s">
        <v>342</v>
      </c>
      <c r="E17" s="13">
        <f>6.1*$H$10*7+7.68*5*H10</f>
        <v>35408.259999999995</v>
      </c>
      <c r="F17" s="40"/>
    </row>
    <row r="18" spans="1:10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14521.316000000001</v>
      </c>
      <c r="F18" s="40"/>
    </row>
    <row r="19" spans="1:10">
      <c r="A19" s="14" t="s">
        <v>36</v>
      </c>
      <c r="B19" s="11" t="s">
        <v>115</v>
      </c>
      <c r="C19" s="11" t="s">
        <v>8</v>
      </c>
      <c r="D19" s="12" t="s">
        <v>343</v>
      </c>
      <c r="E19" s="13">
        <f>0.15*$H$10*7+0.43*5*H10</f>
        <v>1397.12</v>
      </c>
      <c r="F19" s="40"/>
    </row>
    <row r="20" spans="1:10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0.81*$H$10*7+0.98*5*H10</f>
        <v>4614.8620000000001</v>
      </c>
      <c r="F20" s="40"/>
    </row>
    <row r="21" spans="1:10" ht="25.5">
      <c r="A21" s="14" t="s">
        <v>21</v>
      </c>
      <c r="B21" s="11" t="s">
        <v>19</v>
      </c>
      <c r="C21" s="11" t="s">
        <v>8</v>
      </c>
      <c r="D21" s="11" t="s">
        <v>217</v>
      </c>
      <c r="E21" s="13">
        <f>0.31*7*H10+0.35*5*H10</f>
        <v>1711.4720000000002</v>
      </c>
      <c r="F21" s="40"/>
      <c r="G21" s="117"/>
    </row>
    <row r="22" spans="1:10" ht="25.5">
      <c r="A22" s="14" t="s">
        <v>22</v>
      </c>
      <c r="B22" s="11" t="s">
        <v>17</v>
      </c>
      <c r="C22" s="11" t="s">
        <v>8</v>
      </c>
      <c r="D22" s="11" t="s">
        <v>316</v>
      </c>
      <c r="E22" s="13">
        <f>0.53*7*H10+1.61*5*H10</f>
        <v>5134.4160000000011</v>
      </c>
      <c r="F22" s="40"/>
      <c r="G22" s="117"/>
    </row>
    <row r="23" spans="1:10" ht="25.5">
      <c r="A23" s="14" t="s">
        <v>409</v>
      </c>
      <c r="B23" s="11"/>
      <c r="C23" s="11" t="s">
        <v>203</v>
      </c>
      <c r="D23" s="11"/>
      <c r="E23" s="13">
        <v>41113</v>
      </c>
      <c r="F23" s="40"/>
      <c r="G23" s="117"/>
    </row>
    <row r="24" spans="1:10">
      <c r="A24" s="14" t="s">
        <v>344</v>
      </c>
      <c r="B24" s="11"/>
      <c r="C24" s="11" t="s">
        <v>203</v>
      </c>
      <c r="D24" s="11"/>
      <c r="E24" s="13">
        <v>4500</v>
      </c>
      <c r="F24" s="40"/>
    </row>
    <row r="25" spans="1:10" ht="19.5" thickBot="1">
      <c r="A25" s="16" t="s">
        <v>35</v>
      </c>
      <c r="B25" s="17"/>
      <c r="C25" s="17"/>
      <c r="D25" s="85"/>
      <c r="E25" s="116">
        <f>SUM(E12:E24)</f>
        <v>120128.35799999999</v>
      </c>
      <c r="F25" s="41"/>
      <c r="H25" s="117"/>
    </row>
    <row r="26" spans="1:10">
      <c r="A26" s="5"/>
      <c r="B26" s="5"/>
      <c r="C26" s="5"/>
      <c r="D26" s="5"/>
      <c r="E26" s="6"/>
      <c r="F26" s="6"/>
    </row>
    <row r="27" spans="1:10" ht="30" customHeight="1">
      <c r="A27" s="221" t="s">
        <v>463</v>
      </c>
      <c r="B27" s="221"/>
      <c r="C27" s="221"/>
      <c r="D27" s="221"/>
      <c r="E27" s="221"/>
      <c r="F27" s="101"/>
    </row>
    <row r="28" spans="1:10">
      <c r="A28" s="140"/>
      <c r="B28" s="140"/>
      <c r="C28" s="140"/>
      <c r="D28" s="140"/>
      <c r="E28" s="141"/>
      <c r="F28" s="6"/>
      <c r="I28" s="226"/>
      <c r="J28" s="226"/>
    </row>
    <row r="29" spans="1:10" ht="47.25" customHeight="1">
      <c r="A29" s="221" t="s">
        <v>462</v>
      </c>
      <c r="B29" s="221"/>
      <c r="C29" s="221"/>
      <c r="D29" s="221"/>
      <c r="E29" s="221"/>
      <c r="F29" s="101"/>
    </row>
    <row r="30" spans="1:10">
      <c r="A30" s="5"/>
      <c r="B30" s="5"/>
      <c r="C30" s="5"/>
      <c r="D30" s="5"/>
      <c r="E30" s="6"/>
      <c r="F30" s="6"/>
    </row>
    <row r="31" spans="1:10" ht="32.25" customHeight="1">
      <c r="A31" s="221" t="s">
        <v>103</v>
      </c>
      <c r="B31" s="221"/>
      <c r="C31" s="221"/>
      <c r="D31" s="221"/>
      <c r="E31" s="221"/>
      <c r="F31" s="102"/>
    </row>
    <row r="32" spans="1:10">
      <c r="A32" s="137"/>
      <c r="B32" s="137"/>
      <c r="C32" s="137"/>
      <c r="D32" s="137"/>
      <c r="E32" s="137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01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03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74" spans="1:1">
      <c r="A74" t="s">
        <v>111</v>
      </c>
    </row>
  </sheetData>
  <mergeCells count="13">
    <mergeCell ref="I28:J28"/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4"/>
  <sheetViews>
    <sheetView topLeftCell="A10" workbookViewId="0">
      <selection activeCell="F16" sqref="F16:H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168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78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277.8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D12*H10*4</f>
        <v>444.48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D13*H10*4</f>
        <v>577.82400000000007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1.44</v>
      </c>
      <c r="E14" s="13">
        <f>1.44*12*H10</f>
        <v>4800.3840000000009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166</v>
      </c>
      <c r="E15" s="13">
        <f>1.04*8*H10+0.6*4*H10</f>
        <v>2978.0160000000005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0.38</v>
      </c>
      <c r="E16" s="13">
        <v>1273.99</v>
      </c>
      <c r="F16" s="40"/>
      <c r="G16" s="117"/>
    </row>
    <row r="17" spans="1:7" ht="31.5" customHeight="1">
      <c r="A17" s="14" t="s">
        <v>15</v>
      </c>
      <c r="B17" s="11" t="s">
        <v>115</v>
      </c>
      <c r="C17" s="11" t="s">
        <v>8</v>
      </c>
      <c r="D17" s="11" t="s">
        <v>345</v>
      </c>
      <c r="E17" s="13">
        <f>5.8*$H$10*8+7.56*4*H10</f>
        <v>21290.592000000001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10600.848000000002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0.56999999999999995</v>
      </c>
      <c r="E19" s="13">
        <f>D19*12*H10</f>
        <v>1900.152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3266.9279999999999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0.31*8*H10+0.35*4*H10</f>
        <v>1077.864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1.61*12*H10</f>
        <v>5367.0960000000005</v>
      </c>
      <c r="F22" s="40"/>
      <c r="G22" s="117"/>
    </row>
    <row r="23" spans="1:7" ht="25.5">
      <c r="A23" s="21" t="s">
        <v>356</v>
      </c>
      <c r="B23" s="22"/>
      <c r="C23" s="11" t="s">
        <v>8</v>
      </c>
      <c r="D23" s="22">
        <v>2.4</v>
      </c>
      <c r="E23" s="23">
        <f>D23*4*H10</f>
        <v>2666.88</v>
      </c>
      <c r="F23" s="40"/>
      <c r="G23" s="117"/>
    </row>
    <row r="24" spans="1:7">
      <c r="A24" s="21" t="s">
        <v>346</v>
      </c>
      <c r="B24" s="22"/>
      <c r="C24" s="22" t="s">
        <v>203</v>
      </c>
      <c r="D24" s="22"/>
      <c r="E24" s="23">
        <v>418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56663.054000000004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526</v>
      </c>
      <c r="B27" s="221"/>
      <c r="C27" s="221"/>
      <c r="D27" s="221"/>
      <c r="E27" s="221"/>
      <c r="F27" s="101"/>
    </row>
    <row r="28" spans="1:7">
      <c r="A28" s="140"/>
      <c r="B28" s="140"/>
      <c r="C28" s="140"/>
      <c r="D28" s="140"/>
      <c r="E28" s="141"/>
      <c r="F28" s="6"/>
    </row>
    <row r="29" spans="1:7" ht="32.25" customHeight="1">
      <c r="A29" s="221" t="s">
        <v>464</v>
      </c>
      <c r="B29" s="221"/>
      <c r="C29" s="221"/>
      <c r="D29" s="221"/>
      <c r="E29" s="221"/>
      <c r="F29" s="101"/>
    </row>
    <row r="30" spans="1:7">
      <c r="A30" s="5"/>
      <c r="B30" s="5"/>
      <c r="C30" s="5"/>
      <c r="D30" s="5"/>
      <c r="E30" s="6"/>
      <c r="F30" s="6"/>
    </row>
    <row r="31" spans="1:7" ht="32.25" customHeight="1">
      <c r="A31" s="221" t="s">
        <v>103</v>
      </c>
      <c r="B31" s="221"/>
      <c r="C31" s="221"/>
      <c r="D31" s="221"/>
      <c r="E31" s="221"/>
      <c r="F31" s="102"/>
    </row>
    <row r="32" spans="1:7">
      <c r="A32" s="137"/>
      <c r="B32" s="137"/>
      <c r="C32" s="137"/>
      <c r="D32" s="137"/>
      <c r="E32" s="137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01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03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74" spans="1:1">
      <c r="A74" t="s">
        <v>111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69"/>
  <sheetViews>
    <sheetView topLeftCell="A12" workbookViewId="0">
      <selection activeCell="F16" sqref="F16: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169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80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294.2</v>
      </c>
    </row>
    <row r="11" spans="1:8" ht="77.2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D12*H10*5</f>
        <v>588.40000000000009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D13*H10*5</f>
        <v>764.92000000000007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1.36</v>
      </c>
      <c r="E14" s="13">
        <f>1.36*12*H10</f>
        <v>4801.3440000000001</v>
      </c>
      <c r="F14" s="40"/>
    </row>
    <row r="15" spans="1:8" ht="38.25">
      <c r="A15" s="14" t="s">
        <v>191</v>
      </c>
      <c r="B15" s="11" t="s">
        <v>17</v>
      </c>
      <c r="C15" s="11" t="s">
        <v>8</v>
      </c>
      <c r="D15" s="12" t="s">
        <v>166</v>
      </c>
      <c r="E15" s="13">
        <f>1.04*$H$10*7+0.6*5*H10</f>
        <v>3024.3760000000002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0.36</v>
      </c>
      <c r="E16" s="13">
        <v>1273.99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347</v>
      </c>
      <c r="E17" s="13">
        <f>7.16*$H$10*7+8.98*5*H10</f>
        <v>27954.883999999998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11226.672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0.28000000000000003</v>
      </c>
      <c r="E19" s="13">
        <f t="shared" ref="E19" si="0">D19*$H$10*12</f>
        <v>988.51200000000006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3459.7919999999999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1235.6399999999996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1.61*12*H10</f>
        <v>5683.9439999999995</v>
      </c>
      <c r="F22" s="40"/>
      <c r="G22" s="117"/>
    </row>
    <row r="23" spans="1:7" ht="25.5">
      <c r="A23" s="21" t="s">
        <v>356</v>
      </c>
      <c r="B23" s="22"/>
      <c r="C23" s="11" t="s">
        <v>8</v>
      </c>
      <c r="D23" s="22">
        <v>2.27</v>
      </c>
      <c r="E23" s="13">
        <f>D23*5*H10</f>
        <v>3339.1699999999996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64341.644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221" t="s">
        <v>527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3.75" customHeight="1">
      <c r="A28" s="221" t="s">
        <v>465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9" spans="1:1">
      <c r="A69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65"/>
  <sheetViews>
    <sheetView topLeftCell="A10" workbookViewId="0">
      <selection activeCell="F16" sqref="F16: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170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81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282.89999999999998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D12*$H$10*12</f>
        <v>1357.92</v>
      </c>
      <c r="F12" s="39"/>
    </row>
    <row r="13" spans="1:8" ht="60">
      <c r="A13" s="180" t="s">
        <v>138</v>
      </c>
      <c r="B13" s="12" t="s">
        <v>137</v>
      </c>
      <c r="C13" s="11" t="s">
        <v>8</v>
      </c>
      <c r="D13" s="15">
        <v>0.52</v>
      </c>
      <c r="E13" s="181">
        <f t="shared" ref="E13:E22" si="0">D13*$H$10*12</f>
        <v>1765.296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1.06</v>
      </c>
      <c r="E14" s="181">
        <f t="shared" si="0"/>
        <v>3598.4879999999994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>
        <v>1.04</v>
      </c>
      <c r="E15" s="181">
        <f t="shared" si="0"/>
        <v>3530.5920000000001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0.34</v>
      </c>
      <c r="E16" s="181">
        <v>1225.99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>
        <v>6.68</v>
      </c>
      <c r="E17" s="181">
        <f t="shared" si="0"/>
        <v>22677.263999999996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2.48</v>
      </c>
      <c r="E18" s="181">
        <f t="shared" si="0"/>
        <v>8419.1039999999994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0.32</v>
      </c>
      <c r="E19" s="181">
        <f>373.44+700.2</f>
        <v>1073.6400000000001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81">
        <f t="shared" si="0"/>
        <v>3326.9039999999995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81">
        <f t="shared" si="0"/>
        <v>1188.1799999999998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81">
        <f t="shared" si="0"/>
        <v>5465.6279999999997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53629.005999999994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0.75" customHeight="1">
      <c r="A25" s="221" t="s">
        <v>528</v>
      </c>
      <c r="B25" s="221"/>
      <c r="C25" s="221"/>
      <c r="D25" s="221"/>
      <c r="E25" s="221"/>
      <c r="F25" s="101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221" t="s">
        <v>466</v>
      </c>
      <c r="B27" s="221"/>
      <c r="C27" s="221"/>
      <c r="D27" s="221"/>
      <c r="E27" s="221"/>
      <c r="F27" s="101"/>
    </row>
    <row r="28" spans="1:7">
      <c r="A28" s="5"/>
      <c r="B28" s="5"/>
      <c r="C28" s="5"/>
      <c r="D28" s="5"/>
      <c r="E28" s="6"/>
      <c r="F28" s="6"/>
    </row>
    <row r="29" spans="1:7" ht="27" customHeight="1">
      <c r="A29" s="221" t="s">
        <v>103</v>
      </c>
      <c r="B29" s="221"/>
      <c r="C29" s="221"/>
      <c r="D29" s="221"/>
      <c r="E29" s="221"/>
      <c r="F29" s="102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221" t="s">
        <v>24</v>
      </c>
      <c r="B31" s="221"/>
      <c r="C31" s="221"/>
      <c r="D31" s="221"/>
      <c r="E31" s="221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23" t="s">
        <v>25</v>
      </c>
      <c r="B34" s="223"/>
      <c r="C34" s="223"/>
      <c r="D34" s="223"/>
      <c r="E34" s="223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220" t="s">
        <v>29</v>
      </c>
      <c r="C37" s="220"/>
      <c r="D37" s="220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5" spans="1:1">
      <c r="A65" t="s">
        <v>111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opLeftCell="A13" workbookViewId="0">
      <selection activeCell="F16" sqref="F16:I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221" t="s">
        <v>123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39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f>41.1+430.2</f>
        <v>471.3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0.4*5*G10</f>
        <v>942.6</v>
      </c>
    </row>
    <row r="13" spans="1:7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D13*5*G10</f>
        <v>1225.3800000000001</v>
      </c>
    </row>
    <row r="14" spans="1:7" ht="51">
      <c r="A14" s="14" t="s">
        <v>10</v>
      </c>
      <c r="B14" s="11" t="s">
        <v>115</v>
      </c>
      <c r="C14" s="11" t="s">
        <v>12</v>
      </c>
      <c r="D14" s="12" t="s">
        <v>242</v>
      </c>
      <c r="E14" s="13">
        <f>0.16*7*G10+1.98*5*G10</f>
        <v>5193.7259999999997</v>
      </c>
    </row>
    <row r="15" spans="1:7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0.55*7*G10+0.6*5*G10</f>
        <v>3228.4050000000007</v>
      </c>
    </row>
    <row r="16" spans="1:7" ht="51">
      <c r="A16" s="14" t="s">
        <v>13</v>
      </c>
      <c r="B16" s="11" t="s">
        <v>115</v>
      </c>
      <c r="C16" s="11" t="s">
        <v>14</v>
      </c>
      <c r="D16" s="12" t="s">
        <v>244</v>
      </c>
      <c r="E16" s="144">
        <v>4980.3900000000003</v>
      </c>
      <c r="G16" s="117"/>
    </row>
    <row r="17" spans="1:7" ht="42" customHeight="1">
      <c r="A17" s="14" t="s">
        <v>15</v>
      </c>
      <c r="B17" s="11" t="s">
        <v>115</v>
      </c>
      <c r="C17" s="11" t="s">
        <v>8</v>
      </c>
      <c r="D17" s="11">
        <v>7.65</v>
      </c>
      <c r="E17" s="13">
        <f>D17*12*G10</f>
        <v>43265.340000000004</v>
      </c>
    </row>
    <row r="18" spans="1:7">
      <c r="A18" s="14" t="s">
        <v>32</v>
      </c>
      <c r="B18" s="11" t="s">
        <v>17</v>
      </c>
      <c r="C18" s="11" t="s">
        <v>8</v>
      </c>
      <c r="D18" s="12" t="s">
        <v>245</v>
      </c>
      <c r="E18" s="13">
        <f>2.22*7*G10+3.18*5*G10</f>
        <v>14817.672</v>
      </c>
    </row>
    <row r="19" spans="1:7">
      <c r="A19" s="14" t="s">
        <v>36</v>
      </c>
      <c r="B19" s="11" t="s">
        <v>115</v>
      </c>
      <c r="C19" s="11" t="s">
        <v>8</v>
      </c>
      <c r="D19" s="12">
        <v>0.23</v>
      </c>
      <c r="E19" s="13">
        <f>D19*12*G10</f>
        <v>1300.7880000000002</v>
      </c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0.74*7*G10+0.98*5*G10</f>
        <v>4750.7039999999997</v>
      </c>
    </row>
    <row r="21" spans="1:7" ht="22.5" customHeight="1">
      <c r="A21" s="14" t="s">
        <v>40</v>
      </c>
      <c r="B21" s="11" t="s">
        <v>17</v>
      </c>
      <c r="C21" s="11" t="s">
        <v>8</v>
      </c>
      <c r="D21" s="15" t="s">
        <v>216</v>
      </c>
      <c r="E21" s="144">
        <f>1.47*7*G10+1.69*5*G10</f>
        <v>8832.1620000000003</v>
      </c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0.3*7*G10+0.35*5*G10</f>
        <v>1814.5050000000001</v>
      </c>
    </row>
    <row r="23" spans="1:7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f>0.53*7*G10+1.1*5*G10</f>
        <v>4340.6730000000007</v>
      </c>
      <c r="G23" s="117"/>
    </row>
    <row r="24" spans="1:7" ht="25.5">
      <c r="A24" s="21" t="s">
        <v>241</v>
      </c>
      <c r="B24" s="22"/>
      <c r="C24" s="11" t="s">
        <v>8</v>
      </c>
      <c r="D24" s="22">
        <v>3.29</v>
      </c>
      <c r="E24" s="23">
        <f>D24*5*G10</f>
        <v>7752.8850000000002</v>
      </c>
    </row>
    <row r="25" spans="1:7" ht="19.5" thickBot="1">
      <c r="A25" s="16" t="s">
        <v>35</v>
      </c>
      <c r="B25" s="17"/>
      <c r="C25" s="17"/>
      <c r="D25" s="18"/>
      <c r="E25" s="116">
        <f>SUM(E12:E24)</f>
        <v>102445.23</v>
      </c>
    </row>
    <row r="26" spans="1:7">
      <c r="A26" s="5"/>
      <c r="B26" s="5"/>
      <c r="C26" s="5"/>
      <c r="D26" s="5"/>
      <c r="E26" s="6" t="s">
        <v>204</v>
      </c>
    </row>
    <row r="27" spans="1:7" ht="32.25" customHeight="1">
      <c r="A27" s="221" t="s">
        <v>422</v>
      </c>
      <c r="B27" s="221"/>
      <c r="C27" s="221"/>
      <c r="D27" s="221"/>
      <c r="E27" s="221"/>
    </row>
    <row r="28" spans="1:7">
      <c r="A28" s="140"/>
      <c r="B28" s="140"/>
      <c r="C28" s="140"/>
      <c r="D28" s="140"/>
      <c r="E28" s="141"/>
    </row>
    <row r="29" spans="1:7" ht="31.5" customHeight="1">
      <c r="A29" s="221" t="s">
        <v>309</v>
      </c>
      <c r="B29" s="221"/>
      <c r="C29" s="221"/>
      <c r="D29" s="221"/>
      <c r="E29" s="221"/>
    </row>
    <row r="30" spans="1:7">
      <c r="A30" s="119"/>
      <c r="B30" s="119"/>
      <c r="C30" s="119"/>
      <c r="D30" s="119"/>
      <c r="E30" s="119"/>
    </row>
    <row r="31" spans="1:7" ht="32.25" customHeight="1">
      <c r="A31" s="221" t="s">
        <v>103</v>
      </c>
      <c r="B31" s="221"/>
      <c r="C31" s="221"/>
      <c r="D31" s="221"/>
      <c r="E31" s="221"/>
    </row>
    <row r="32" spans="1:7">
      <c r="A32" s="5"/>
      <c r="B32" s="5"/>
      <c r="C32" s="5"/>
      <c r="D32" s="5"/>
      <c r="E32" s="6"/>
    </row>
    <row r="33" spans="1:5">
      <c r="A33" s="222" t="s">
        <v>49</v>
      </c>
      <c r="B33" s="222"/>
      <c r="C33" s="222"/>
      <c r="D33" s="222"/>
      <c r="E33" s="222"/>
    </row>
    <row r="34" spans="1:5">
      <c r="A34" s="5"/>
      <c r="B34" s="5"/>
      <c r="C34" s="5"/>
      <c r="D34" s="5"/>
      <c r="E34" s="6"/>
    </row>
    <row r="35" spans="1:5" ht="28.5" customHeight="1">
      <c r="A35" s="221" t="s">
        <v>24</v>
      </c>
      <c r="B35" s="221"/>
      <c r="C35" s="221"/>
      <c r="D35" s="221"/>
      <c r="E35" s="221"/>
    </row>
    <row r="36" spans="1:5" ht="28.5" customHeight="1">
      <c r="A36" s="118"/>
      <c r="B36" s="118"/>
      <c r="C36" s="118"/>
      <c r="D36" s="118"/>
      <c r="E36" s="118"/>
    </row>
    <row r="37" spans="1:5">
      <c r="A37" s="223" t="s">
        <v>25</v>
      </c>
      <c r="B37" s="223"/>
      <c r="C37" s="223"/>
      <c r="D37" s="223"/>
      <c r="E37" s="223"/>
    </row>
    <row r="38" spans="1:5">
      <c r="A38" s="5"/>
      <c r="B38" s="5"/>
      <c r="C38" s="5"/>
      <c r="D38" s="5"/>
      <c r="E38" s="6"/>
    </row>
    <row r="39" spans="1:5">
      <c r="A39" s="5" t="s">
        <v>26</v>
      </c>
      <c r="B39" s="5" t="s">
        <v>27</v>
      </c>
      <c r="C39" s="5"/>
      <c r="D39" s="5"/>
      <c r="E39" s="6" t="s">
        <v>28</v>
      </c>
    </row>
    <row r="40" spans="1:5">
      <c r="A40" s="5"/>
      <c r="B40" s="220" t="s">
        <v>29</v>
      </c>
      <c r="C40" s="220"/>
      <c r="D40" s="220"/>
      <c r="E40" s="6" t="s">
        <v>30</v>
      </c>
    </row>
    <row r="41" spans="1:5">
      <c r="A41" s="5"/>
      <c r="B41" s="5"/>
      <c r="C41" s="5"/>
      <c r="D41" s="5"/>
      <c r="E41" s="6"/>
    </row>
    <row r="42" spans="1:5">
      <c r="A42" s="5"/>
      <c r="B42" s="5"/>
      <c r="C42" s="5"/>
      <c r="D42" s="5"/>
      <c r="E42" s="6"/>
    </row>
    <row r="43" spans="1:5">
      <c r="A43" s="5" t="s">
        <v>31</v>
      </c>
      <c r="B43" s="5" t="s">
        <v>27</v>
      </c>
      <c r="C43" s="5"/>
      <c r="D43" s="5"/>
      <c r="E43" s="6" t="s">
        <v>28</v>
      </c>
    </row>
    <row r="44" spans="1:5">
      <c r="A44" s="5"/>
      <c r="B44" s="220" t="s">
        <v>29</v>
      </c>
      <c r="C44" s="220"/>
      <c r="D44" s="220"/>
      <c r="E44" s="6" t="s">
        <v>30</v>
      </c>
    </row>
    <row r="45" spans="1:5">
      <c r="A45" s="5"/>
      <c r="B45" s="5"/>
      <c r="C45" s="5"/>
      <c r="D45" s="5"/>
      <c r="E45" s="6"/>
    </row>
  </sheetData>
  <mergeCells count="13">
    <mergeCell ref="B44:D44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7:E37"/>
    <mergeCell ref="B40:D40"/>
    <mergeCell ref="A35:E35"/>
  </mergeCells>
  <pageMargins left="0.24" right="0.21" top="0.26" bottom="0.24" header="0.3" footer="0.2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A29" sqref="A29:E2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171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82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301.5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D12*H10*3</f>
        <v>361.8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D13*H10*3</f>
        <v>470.34000000000003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348</v>
      </c>
      <c r="E14" s="13">
        <f>0.21*$H$10*9+1.33*3*H10</f>
        <v>1772.8200000000002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0.55*$H$10*9+0.6*3*H10</f>
        <v>2035.125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341</v>
      </c>
      <c r="E16" s="13">
        <f>0.17*$H$10*9+0.18*3*H10</f>
        <v>624.10500000000002</v>
      </c>
      <c r="F16" s="40"/>
    </row>
    <row r="17" spans="1:7" ht="42" customHeight="1">
      <c r="A17" s="14" t="s">
        <v>15</v>
      </c>
      <c r="B17" s="11" t="s">
        <v>115</v>
      </c>
      <c r="C17" s="11" t="s">
        <v>8</v>
      </c>
      <c r="D17" s="11" t="s">
        <v>349</v>
      </c>
      <c r="E17" s="13">
        <f>6.25*$H$10*9+5.97*3*H10</f>
        <v>22359.239999999998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2.48*$H$10*9+3.18*3*H10</f>
        <v>9605.7900000000009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0.24</v>
      </c>
      <c r="E19" s="13">
        <f t="shared" ref="E19" si="0">D19*$H$10*12</f>
        <v>868.31999999999994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0.74*$H$10*9+0.98*3*H10</f>
        <v>2894.3999999999996</v>
      </c>
      <c r="F20" s="40"/>
    </row>
    <row r="21" spans="1:7" ht="25.5">
      <c r="A21" s="14" t="s">
        <v>79</v>
      </c>
      <c r="B21" s="11" t="s">
        <v>19</v>
      </c>
      <c r="C21" s="11" t="s">
        <v>8</v>
      </c>
      <c r="D21" s="84" t="s">
        <v>216</v>
      </c>
      <c r="E21" s="13">
        <v>5931.96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0.3*9*H10+0.35*3*H10</f>
        <v>1130.625</v>
      </c>
      <c r="F22" s="40"/>
      <c r="G22" s="117"/>
    </row>
    <row r="23" spans="1:7" ht="24.75" customHeight="1">
      <c r="A23" s="14" t="s">
        <v>22</v>
      </c>
      <c r="B23" s="11" t="s">
        <v>17</v>
      </c>
      <c r="C23" s="11" t="s">
        <v>8</v>
      </c>
      <c r="D23" s="11" t="s">
        <v>316</v>
      </c>
      <c r="E23" s="13">
        <f>0.53*9*H10+1.61*3*H10</f>
        <v>2894.4000000000005</v>
      </c>
      <c r="F23" s="40"/>
      <c r="G23" s="117"/>
    </row>
    <row r="24" spans="1:7">
      <c r="A24" s="21" t="s">
        <v>350</v>
      </c>
      <c r="B24" s="22"/>
      <c r="C24" s="22" t="s">
        <v>203</v>
      </c>
      <c r="D24" s="22"/>
      <c r="E24" s="23">
        <v>724</v>
      </c>
      <c r="F24" s="40"/>
      <c r="G24" s="117"/>
    </row>
    <row r="25" spans="1:7">
      <c r="A25" s="21" t="s">
        <v>351</v>
      </c>
      <c r="B25" s="22"/>
      <c r="C25" s="22" t="s">
        <v>203</v>
      </c>
      <c r="D25" s="22"/>
      <c r="E25" s="23">
        <v>1732</v>
      </c>
      <c r="F25" s="40"/>
      <c r="G25" s="117"/>
    </row>
    <row r="26" spans="1:7">
      <c r="A26" s="21" t="s">
        <v>352</v>
      </c>
      <c r="B26" s="22"/>
      <c r="C26" s="22" t="s">
        <v>203</v>
      </c>
      <c r="D26" s="22"/>
      <c r="E26" s="23">
        <v>1976</v>
      </c>
      <c r="F26" s="40"/>
      <c r="G26" s="117"/>
    </row>
    <row r="27" spans="1:7" ht="19.5" thickBot="1">
      <c r="A27" s="16" t="s">
        <v>35</v>
      </c>
      <c r="B27" s="17"/>
      <c r="C27" s="17"/>
      <c r="D27" s="85"/>
      <c r="E27" s="116">
        <f>SUM(E12:E26)</f>
        <v>55380.925000000003</v>
      </c>
      <c r="F27" s="41"/>
      <c r="G27" s="117"/>
    </row>
    <row r="28" spans="1:7">
      <c r="A28" s="5"/>
      <c r="B28" s="5"/>
      <c r="C28" s="5"/>
      <c r="D28" s="5"/>
      <c r="E28" s="6"/>
      <c r="F28" s="6"/>
    </row>
    <row r="29" spans="1:7" ht="30" customHeight="1">
      <c r="A29" s="221" t="s">
        <v>467</v>
      </c>
      <c r="B29" s="221"/>
      <c r="C29" s="221"/>
      <c r="D29" s="221"/>
      <c r="E29" s="221"/>
      <c r="F29" s="101"/>
    </row>
    <row r="30" spans="1:7">
      <c r="A30" s="5"/>
      <c r="B30" s="5"/>
      <c r="C30" s="5"/>
      <c r="D30" s="5"/>
      <c r="E30" s="6"/>
      <c r="F30" s="6"/>
    </row>
    <row r="31" spans="1:7" ht="30.75" customHeight="1">
      <c r="A31" s="221" t="s">
        <v>468</v>
      </c>
      <c r="B31" s="221"/>
      <c r="C31" s="221"/>
      <c r="D31" s="221"/>
      <c r="E31" s="221"/>
      <c r="F31" s="101"/>
    </row>
    <row r="32" spans="1:7">
      <c r="A32" s="5"/>
      <c r="B32" s="5"/>
      <c r="C32" s="5"/>
      <c r="D32" s="5"/>
      <c r="E32" s="6"/>
      <c r="F32" s="6"/>
    </row>
    <row r="33" spans="1:6" ht="31.5" customHeight="1">
      <c r="A33" s="221" t="s">
        <v>103</v>
      </c>
      <c r="B33" s="221"/>
      <c r="C33" s="221"/>
      <c r="D33" s="221"/>
      <c r="E33" s="221"/>
      <c r="F33" s="102"/>
    </row>
    <row r="34" spans="1:6">
      <c r="A34" s="137"/>
      <c r="B34" s="137"/>
      <c r="C34" s="137"/>
      <c r="D34" s="137"/>
      <c r="E34" s="137"/>
      <c r="F34" s="6"/>
    </row>
    <row r="35" spans="1:6" ht="28.5" customHeight="1">
      <c r="A35" s="221" t="s">
        <v>24</v>
      </c>
      <c r="B35" s="221"/>
      <c r="C35" s="221"/>
      <c r="D35" s="221"/>
      <c r="E35" s="221"/>
      <c r="F35" s="101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103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2">
    <mergeCell ref="B45:D45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8"/>
  <sheetViews>
    <sheetView topLeftCell="A10" workbookViewId="0">
      <selection activeCell="G24" sqref="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172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83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270.5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0.2</v>
      </c>
      <c r="E12" s="181">
        <f>D12*H10*4</f>
        <v>216.4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D13*H10*4</f>
        <v>562.64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1.1100000000000001</v>
      </c>
      <c r="E14" s="13">
        <f>D14*12*H10</f>
        <v>3603.06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0.55*$H$10*8+0.6*4*H10</f>
        <v>1839.4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353</v>
      </c>
      <c r="E16" s="13">
        <v>998.99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354</v>
      </c>
      <c r="E17" s="13">
        <f>5.35*$H$10*8+6.63*4*H10</f>
        <v>18751.059999999998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2.48*$H$10*8+3.18*4*H10</f>
        <v>8807.48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0.2</v>
      </c>
      <c r="E19" s="13">
        <f>D19*$H$10*8</f>
        <v>432.8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3181.08</v>
      </c>
      <c r="F20" s="40"/>
    </row>
    <row r="21" spans="1:7" ht="25.5">
      <c r="A21" s="14" t="s">
        <v>79</v>
      </c>
      <c r="B21" s="11" t="s">
        <v>19</v>
      </c>
      <c r="C21" s="11" t="s">
        <v>8</v>
      </c>
      <c r="D21" s="84">
        <v>1.69</v>
      </c>
      <c r="E21" s="13">
        <f>D21*12*H10</f>
        <v>5485.7400000000007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1136.0999999999999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5226.0600000000004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50240.81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3" customHeight="1">
      <c r="A26" s="221" t="s">
        <v>542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469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31.5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58" spans="1:1">
      <c r="A58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60"/>
  <sheetViews>
    <sheetView topLeftCell="A8" workbookViewId="0">
      <selection activeCell="F12" sqref="F12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173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84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464.6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38.25">
      <c r="A12" s="14" t="s">
        <v>190</v>
      </c>
      <c r="B12" s="11" t="s">
        <v>115</v>
      </c>
      <c r="C12" s="11" t="s">
        <v>12</v>
      </c>
      <c r="D12" s="12">
        <v>0.46</v>
      </c>
      <c r="E12" s="13">
        <v>2550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>
        <v>0.55000000000000004</v>
      </c>
      <c r="E13" s="13">
        <f t="shared" ref="E13:E20" si="0">D13*$H$10*12</f>
        <v>3066.3600000000006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0.25</v>
      </c>
      <c r="E14" s="13">
        <v>1440.17</v>
      </c>
      <c r="F14" s="40"/>
      <c r="G14" s="117"/>
    </row>
    <row r="15" spans="1:8" ht="25.5">
      <c r="A15" s="14" t="s">
        <v>15</v>
      </c>
      <c r="B15" s="11" t="s">
        <v>115</v>
      </c>
      <c r="C15" s="11" t="s">
        <v>8</v>
      </c>
      <c r="D15" s="11">
        <v>4.7</v>
      </c>
      <c r="E15" s="13">
        <f t="shared" si="0"/>
        <v>26203.440000000002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13826.496000000001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0.19</v>
      </c>
      <c r="E17" s="13">
        <f t="shared" si="0"/>
        <v>1059.288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5463.6959999999999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0.35</v>
      </c>
      <c r="E19" s="13">
        <f t="shared" si="0"/>
        <v>1951.3199999999997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1.61</v>
      </c>
      <c r="E20" s="13">
        <f t="shared" si="0"/>
        <v>8976.0720000000001</v>
      </c>
      <c r="F20" s="40"/>
      <c r="G20" s="117"/>
    </row>
    <row r="21" spans="1:7" ht="25.5">
      <c r="A21" s="21" t="s">
        <v>206</v>
      </c>
      <c r="B21" s="22"/>
      <c r="C21" s="22" t="s">
        <v>203</v>
      </c>
      <c r="D21" s="22"/>
      <c r="E21" s="218">
        <f>36766.85/1000*H10/2</f>
        <v>8540.9392549999993</v>
      </c>
      <c r="F21" s="40"/>
      <c r="G21" s="117"/>
    </row>
    <row r="22" spans="1:7" ht="19.5" thickBot="1">
      <c r="A22" s="16" t="s">
        <v>35</v>
      </c>
      <c r="B22" s="17"/>
      <c r="C22" s="17"/>
      <c r="D22" s="85"/>
      <c r="E22" s="116">
        <f>SUM(E12:E21)</f>
        <v>73077.781254999994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6.75" customHeight="1">
      <c r="A24" s="221" t="s">
        <v>529</v>
      </c>
      <c r="B24" s="221"/>
      <c r="C24" s="221"/>
      <c r="D24" s="221"/>
      <c r="E24" s="221"/>
      <c r="F24" s="101"/>
    </row>
    <row r="25" spans="1:7">
      <c r="A25" s="5"/>
      <c r="B25" s="5"/>
      <c r="C25" s="5"/>
      <c r="D25" s="5"/>
      <c r="E25" s="6"/>
      <c r="F25" s="6"/>
    </row>
    <row r="26" spans="1:7" ht="30.75" customHeight="1">
      <c r="A26" s="221" t="s">
        <v>470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3" customHeight="1">
      <c r="A28" s="221" t="s">
        <v>103</v>
      </c>
      <c r="B28" s="221"/>
      <c r="C28" s="221"/>
      <c r="D28" s="221"/>
      <c r="E28" s="221"/>
      <c r="F28" s="102"/>
    </row>
    <row r="29" spans="1:7">
      <c r="A29" s="137"/>
      <c r="B29" s="137"/>
      <c r="C29" s="137"/>
      <c r="D29" s="137"/>
      <c r="E29" s="137"/>
      <c r="F29" s="6"/>
    </row>
    <row r="30" spans="1:7" ht="28.5" customHeight="1">
      <c r="A30" s="221" t="s">
        <v>24</v>
      </c>
      <c r="B30" s="221"/>
      <c r="C30" s="221"/>
      <c r="D30" s="221"/>
      <c r="E30" s="221"/>
      <c r="F30" s="101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103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60" spans="1:1">
      <c r="A60" t="s">
        <v>111</v>
      </c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66"/>
  <sheetViews>
    <sheetView topLeftCell="A12" workbookViewId="0">
      <selection activeCell="F16" sqref="F16:H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174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85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276.60000000000002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0.2</v>
      </c>
      <c r="E12" s="181">
        <f>D12*H10*5</f>
        <v>276.60000000000002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D13*H10*5</f>
        <v>719.16000000000008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1.45</v>
      </c>
      <c r="E14" s="13">
        <f>1.45*12*H10</f>
        <v>4812.84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1.04*$H$10*7+0.6*5*H10</f>
        <v>2843.4480000000003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0.34</v>
      </c>
      <c r="E16" s="13">
        <v>1108.17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355</v>
      </c>
      <c r="E17" s="13">
        <f>6.67*$H$10*7+8.05*4*H10</f>
        <v>21820.974000000002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10555.056000000002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0.5</v>
      </c>
      <c r="E19" s="13">
        <f t="shared" ref="E19" si="0">D19*$H$10*12</f>
        <v>1659.6000000000001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3252.8160000000003</v>
      </c>
      <c r="F20" s="40"/>
    </row>
    <row r="21" spans="1:7" ht="25.5">
      <c r="A21" s="14" t="s">
        <v>86</v>
      </c>
      <c r="B21" s="11" t="s">
        <v>19</v>
      </c>
      <c r="C21" s="11" t="s">
        <v>8</v>
      </c>
      <c r="D21" s="84">
        <v>0.61</v>
      </c>
      <c r="E21" s="13">
        <f>0.61*12*H10</f>
        <v>2024.7120000000002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1161.7199999999998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5343.9120000000003</v>
      </c>
      <c r="F23" s="40"/>
      <c r="G23" s="117"/>
    </row>
    <row r="24" spans="1:7" ht="25.5">
      <c r="A24" s="21" t="s">
        <v>206</v>
      </c>
      <c r="B24" s="22"/>
      <c r="C24" s="22" t="s">
        <v>203</v>
      </c>
      <c r="D24" s="22"/>
      <c r="E24" s="218">
        <f>36766.85/1000*H10/2</f>
        <v>5084.8553550000006</v>
      </c>
      <c r="F24" s="40"/>
      <c r="G24" s="117"/>
    </row>
    <row r="25" spans="1:7" ht="25.5">
      <c r="A25" s="21" t="s">
        <v>356</v>
      </c>
      <c r="B25" s="22"/>
      <c r="C25" s="11" t="s">
        <v>8</v>
      </c>
      <c r="D25" s="22">
        <v>2.41</v>
      </c>
      <c r="E25" s="13">
        <f>D25*5*H10</f>
        <v>3333.0300000000007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63996.893355</v>
      </c>
      <c r="F26" s="41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221" t="s">
        <v>530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29.25" customHeight="1">
      <c r="A30" s="221" t="s">
        <v>471</v>
      </c>
      <c r="B30" s="221"/>
      <c r="C30" s="221"/>
      <c r="D30" s="221"/>
      <c r="E30" s="221"/>
      <c r="F30" s="101"/>
    </row>
    <row r="31" spans="1:7">
      <c r="A31" s="5"/>
      <c r="B31" s="5"/>
      <c r="C31" s="5"/>
      <c r="D31" s="5"/>
      <c r="E31" s="6"/>
      <c r="F31" s="6"/>
    </row>
    <row r="32" spans="1:7" ht="30.75" customHeight="1">
      <c r="A32" s="221" t="s">
        <v>103</v>
      </c>
      <c r="B32" s="221"/>
      <c r="C32" s="221"/>
      <c r="D32" s="221"/>
      <c r="E32" s="221"/>
      <c r="F32" s="102"/>
    </row>
    <row r="33" spans="1:6">
      <c r="A33" s="137"/>
      <c r="B33" s="137"/>
      <c r="C33" s="137"/>
      <c r="D33" s="137"/>
      <c r="E33" s="137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101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103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  <row r="66" spans="1:1">
      <c r="A66" t="s">
        <v>111</v>
      </c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62"/>
  <sheetViews>
    <sheetView topLeftCell="A7" workbookViewId="0">
      <selection activeCell="F12" sqref="F12:H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175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87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439.1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1.23</v>
      </c>
      <c r="E12" s="13">
        <v>6500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0.55000000000000004</v>
      </c>
      <c r="E13" s="13">
        <f t="shared" ref="E13:E19" si="0">D13*$H$10*12</f>
        <v>2898.0600000000004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0.23</v>
      </c>
      <c r="E14" s="13">
        <v>1228.17</v>
      </c>
      <c r="F14" s="40"/>
      <c r="G14" s="117"/>
    </row>
    <row r="15" spans="1:8" ht="25.5">
      <c r="A15" s="14" t="s">
        <v>15</v>
      </c>
      <c r="B15" s="11" t="s">
        <v>115</v>
      </c>
      <c r="C15" s="11" t="s">
        <v>8</v>
      </c>
      <c r="D15" s="11">
        <v>3.54</v>
      </c>
      <c r="E15" s="13">
        <f t="shared" si="0"/>
        <v>18652.968000000001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13067.616000000002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0.36</v>
      </c>
      <c r="E17" s="13">
        <f t="shared" si="0"/>
        <v>1896.9119999999998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5163.8160000000007</v>
      </c>
      <c r="F18" s="40"/>
    </row>
    <row r="19" spans="1:7" ht="25.5">
      <c r="A19" s="14" t="s">
        <v>86</v>
      </c>
      <c r="B19" s="11" t="s">
        <v>19</v>
      </c>
      <c r="C19" s="11" t="s">
        <v>8</v>
      </c>
      <c r="D19" s="84">
        <v>0.61</v>
      </c>
      <c r="E19" s="13">
        <f t="shared" si="0"/>
        <v>3214.212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v>1686.59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v>8984.91</v>
      </c>
      <c r="F21" s="40"/>
      <c r="G21" s="117"/>
    </row>
    <row r="22" spans="1:7" ht="25.5">
      <c r="A22" s="21" t="s">
        <v>206</v>
      </c>
      <c r="B22" s="22"/>
      <c r="C22" s="22" t="s">
        <v>203</v>
      </c>
      <c r="D22" s="22"/>
      <c r="E22" s="218">
        <f>36766.85/1000*H10/2</f>
        <v>8072.1619174999996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71365.415917499995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3.75" customHeight="1">
      <c r="A25" s="221" t="s">
        <v>531</v>
      </c>
      <c r="B25" s="221"/>
      <c r="C25" s="221"/>
      <c r="D25" s="221"/>
      <c r="E25" s="221"/>
      <c r="F25" s="101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221" t="s">
        <v>472</v>
      </c>
      <c r="B27" s="221"/>
      <c r="C27" s="221"/>
      <c r="D27" s="221"/>
      <c r="E27" s="221"/>
      <c r="F27" s="101"/>
    </row>
    <row r="28" spans="1:7">
      <c r="A28" s="5"/>
      <c r="B28" s="5"/>
      <c r="C28" s="5"/>
      <c r="D28" s="5"/>
      <c r="E28" s="6"/>
      <c r="F28" s="6"/>
    </row>
    <row r="29" spans="1:7" ht="29.25" customHeight="1">
      <c r="A29" s="221" t="s">
        <v>103</v>
      </c>
      <c r="B29" s="221"/>
      <c r="C29" s="221"/>
      <c r="D29" s="221"/>
      <c r="E29" s="221"/>
      <c r="F29" s="102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221" t="s">
        <v>24</v>
      </c>
      <c r="B31" s="221"/>
      <c r="C31" s="221"/>
      <c r="D31" s="221"/>
      <c r="E31" s="221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23" t="s">
        <v>25</v>
      </c>
      <c r="B34" s="223"/>
      <c r="C34" s="223"/>
      <c r="D34" s="223"/>
      <c r="E34" s="223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220" t="s">
        <v>29</v>
      </c>
      <c r="C37" s="220"/>
      <c r="D37" s="220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2" spans="1:1">
      <c r="A62" t="s">
        <v>111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69"/>
  <sheetViews>
    <sheetView topLeftCell="A15" workbookViewId="0">
      <selection activeCell="F16" sqref="F16:J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176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88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465.6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D12*H10*5</f>
        <v>931.2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D13*H10*5</f>
        <v>1210.5600000000002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1.29</v>
      </c>
      <c r="E14" s="13">
        <f>1.29*12*H10</f>
        <v>7207.4880000000003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0.55*$H$10*7+0.6*5*H10</f>
        <v>3189.3600000000006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357</v>
      </c>
      <c r="E16" s="13">
        <v>1228.3599999999999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358</v>
      </c>
      <c r="E17" s="13">
        <f>4.25*$H$10*7+5.44*5*H10</f>
        <v>26515.920000000006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15485.856000000002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0.12</v>
      </c>
      <c r="E19" s="13">
        <f t="shared" ref="E19" si="0">D19*$H$10*12</f>
        <v>670.46399999999994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5475.4560000000001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1955.5199999999998</v>
      </c>
      <c r="F21" s="40"/>
      <c r="G21" s="117"/>
    </row>
    <row r="22" spans="1:7" ht="25.5">
      <c r="A22" s="14" t="s">
        <v>22</v>
      </c>
      <c r="B22" s="11" t="s">
        <v>19</v>
      </c>
      <c r="C22" s="11" t="s">
        <v>8</v>
      </c>
      <c r="D22" s="11">
        <v>1.61</v>
      </c>
      <c r="E22" s="13">
        <f>1.61*12*H10</f>
        <v>8995.3919999999998</v>
      </c>
      <c r="F22" s="40"/>
      <c r="G22" s="117"/>
    </row>
    <row r="23" spans="1:7" ht="25.5">
      <c r="A23" s="21" t="s">
        <v>206</v>
      </c>
      <c r="B23" s="22"/>
      <c r="C23" s="22" t="s">
        <v>203</v>
      </c>
      <c r="D23" s="22"/>
      <c r="E23" s="218">
        <f>36766.85/1000*H10/2</f>
        <v>8559.3226799999993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81424.898679999998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21" t="s">
        <v>532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3" customHeight="1">
      <c r="A28" s="221" t="s">
        <v>473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28.5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9" spans="1:1">
      <c r="A69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70"/>
  <sheetViews>
    <sheetView topLeftCell="A9" workbookViewId="0">
      <selection activeCell="G24" sqref="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177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89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470.2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0.2</v>
      </c>
      <c r="E12" s="181">
        <f>D12*H10*5</f>
        <v>470.20000000000005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D13*H10*5</f>
        <v>1222.52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359</v>
      </c>
      <c r="E14" s="13">
        <f>1.28*12*H10</f>
        <v>7222.2719999999999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0.55*$H$10*7+0.6*5*H10</f>
        <v>3220.87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0.22</v>
      </c>
      <c r="E16" s="13">
        <f>D16*12*H10</f>
        <v>1241.328</v>
      </c>
      <c r="F16" s="40"/>
      <c r="G16" s="117"/>
    </row>
    <row r="17" spans="1:7" ht="42" customHeight="1">
      <c r="A17" s="14" t="s">
        <v>15</v>
      </c>
      <c r="B17" s="11" t="s">
        <v>115</v>
      </c>
      <c r="C17" s="11" t="s">
        <v>8</v>
      </c>
      <c r="D17" s="11" t="s">
        <v>360</v>
      </c>
      <c r="E17" s="13">
        <f>4.15*7*H10+4.21*5*H10</f>
        <v>23557.020000000004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3.18</v>
      </c>
      <c r="E18" s="13">
        <f>3.18*12*H10</f>
        <v>17942.832000000002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0.41</v>
      </c>
      <c r="E19" s="13">
        <f>0.41*12*H10</f>
        <v>2313.384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5529.5519999999997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1974.8399999999997</v>
      </c>
      <c r="F21" s="40"/>
      <c r="G21" s="117"/>
    </row>
    <row r="22" spans="1:7" ht="25.5">
      <c r="A22" s="14" t="s">
        <v>22</v>
      </c>
      <c r="B22" s="11" t="s">
        <v>19</v>
      </c>
      <c r="C22" s="11" t="s">
        <v>8</v>
      </c>
      <c r="D22" s="11">
        <v>1.61</v>
      </c>
      <c r="E22" s="13">
        <f>1.61*12*H10</f>
        <v>9084.2639999999992</v>
      </c>
      <c r="F22" s="40"/>
      <c r="G22" s="117"/>
    </row>
    <row r="23" spans="1:7" ht="25.5">
      <c r="A23" s="21" t="s">
        <v>206</v>
      </c>
      <c r="B23" s="22"/>
      <c r="C23" s="22" t="s">
        <v>203</v>
      </c>
      <c r="D23" s="22"/>
      <c r="E23" s="218">
        <f>36766.85/1000*H10/2</f>
        <v>8643.8864349999985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82422.968434999988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21" t="s">
        <v>474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4.5" customHeight="1">
      <c r="A28" s="221" t="s">
        <v>361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29.25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0" spans="1:1">
      <c r="A70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6"/>
  <sheetViews>
    <sheetView topLeftCell="A9" workbookViewId="0">
      <selection activeCell="F16" sqref="F16:H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178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90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455.9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D12*$H$10*12</f>
        <v>2188.3200000000002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 t="shared" ref="E13:E21" si="0">D13*$H$10*12</f>
        <v>2844.8159999999998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1.32</v>
      </c>
      <c r="E14" s="181">
        <f>D14*$H$10*12</f>
        <v>7221.4560000000001</v>
      </c>
      <c r="F14" s="40"/>
      <c r="G14" s="117"/>
    </row>
    <row r="15" spans="1:8" ht="51">
      <c r="A15" s="14" t="s">
        <v>37</v>
      </c>
      <c r="B15" s="11" t="s">
        <v>17</v>
      </c>
      <c r="C15" s="11" t="s">
        <v>8</v>
      </c>
      <c r="D15" s="12">
        <v>0.6</v>
      </c>
      <c r="E15" s="181">
        <f t="shared" si="0"/>
        <v>3282.4799999999996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0.22</v>
      </c>
      <c r="E16" s="181">
        <v>1228.3599999999999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>
        <v>4.83</v>
      </c>
      <c r="E17" s="181">
        <f t="shared" si="0"/>
        <v>26423.964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2.98</v>
      </c>
      <c r="E18" s="181">
        <f t="shared" si="0"/>
        <v>16302.983999999999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>
        <v>0.89</v>
      </c>
      <c r="E19" s="181">
        <f t="shared" si="0"/>
        <v>4869.0119999999997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0.32</v>
      </c>
      <c r="E20" s="181">
        <f t="shared" si="0"/>
        <v>1750.6559999999999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81">
        <f t="shared" si="0"/>
        <v>8807.9880000000012</v>
      </c>
      <c r="F21" s="40"/>
      <c r="G21" s="117"/>
    </row>
    <row r="22" spans="1:7" ht="25.5">
      <c r="A22" s="21" t="s">
        <v>206</v>
      </c>
      <c r="B22" s="22"/>
      <c r="C22" s="22" t="s">
        <v>203</v>
      </c>
      <c r="D22" s="22"/>
      <c r="E22" s="218">
        <f>36766.85/1000*H10/2</f>
        <v>8381.0034574999991</v>
      </c>
      <c r="F22" s="40"/>
      <c r="G22" s="117"/>
    </row>
    <row r="23" spans="1:7">
      <c r="A23" s="21" t="s">
        <v>404</v>
      </c>
      <c r="B23" s="11"/>
      <c r="C23" s="22" t="s">
        <v>203</v>
      </c>
      <c r="D23" s="22"/>
      <c r="E23" s="23">
        <v>5805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89106.039457499995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221" t="s">
        <v>533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46.5" customHeight="1">
      <c r="A28" s="221" t="s">
        <v>364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30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6" spans="1:1">
      <c r="A66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69"/>
  <sheetViews>
    <sheetView topLeftCell="A10" workbookViewId="0">
      <selection activeCell="F19" sqref="F19:H2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82"/>
    </row>
    <row r="2" spans="1:8" ht="36" customHeight="1">
      <c r="A2" s="225" t="s">
        <v>1</v>
      </c>
      <c r="B2" s="225"/>
      <c r="C2" s="225"/>
      <c r="D2" s="225"/>
      <c r="E2" s="225"/>
      <c r="F2" s="183"/>
    </row>
    <row r="3" spans="1:8">
      <c r="A3" s="1"/>
      <c r="B3" s="1"/>
      <c r="C3" s="1"/>
      <c r="D3" s="1"/>
      <c r="E3" s="2"/>
      <c r="F3" s="2"/>
    </row>
    <row r="4" spans="1:8" ht="15" customHeight="1">
      <c r="A4" s="185" t="s">
        <v>2</v>
      </c>
      <c r="B4" s="1"/>
      <c r="C4" s="1"/>
      <c r="D4" s="226" t="s">
        <v>209</v>
      </c>
      <c r="E4" s="226"/>
      <c r="F4" s="18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192</v>
      </c>
      <c r="B7" s="221"/>
      <c r="C7" s="221"/>
      <c r="D7" s="221"/>
      <c r="E7" s="221"/>
      <c r="F7" s="18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193</v>
      </c>
      <c r="B9" s="221"/>
      <c r="C9" s="221"/>
      <c r="D9" s="221"/>
      <c r="E9" s="221"/>
      <c r="F9" s="185"/>
    </row>
    <row r="10" spans="1:8" ht="15.75" thickBot="1">
      <c r="A10" s="5"/>
      <c r="B10" s="5"/>
      <c r="C10" s="5"/>
      <c r="D10" s="5"/>
      <c r="E10" s="6"/>
      <c r="F10" s="6"/>
      <c r="H10">
        <v>622.6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82.5" customHeight="1">
      <c r="A12" s="180" t="s">
        <v>136</v>
      </c>
      <c r="B12" s="179" t="s">
        <v>137</v>
      </c>
      <c r="C12" s="11" t="s">
        <v>8</v>
      </c>
      <c r="D12" s="189">
        <v>0.8</v>
      </c>
      <c r="E12" s="13">
        <f>D12*$H$10*12</f>
        <v>5976.9600000000009</v>
      </c>
      <c r="F12" s="39"/>
    </row>
    <row r="13" spans="1:8" ht="60">
      <c r="A13" s="180" t="s">
        <v>138</v>
      </c>
      <c r="B13" s="179" t="s">
        <v>137</v>
      </c>
      <c r="C13" s="11" t="s">
        <v>8</v>
      </c>
      <c r="D13" s="15">
        <v>0.93</v>
      </c>
      <c r="E13" s="13">
        <f t="shared" ref="E13:E23" si="0">D13*$H$10*12</f>
        <v>6948.2160000000003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0.48</v>
      </c>
      <c r="E14" s="13">
        <f t="shared" si="0"/>
        <v>3586.1760000000004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>
        <v>1.04</v>
      </c>
      <c r="E15" s="13">
        <f t="shared" si="0"/>
        <v>7770.0480000000007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0.31</v>
      </c>
      <c r="E16" s="13">
        <f t="shared" si="0"/>
        <v>2316.0720000000001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>
        <v>4.32</v>
      </c>
      <c r="E17" s="13">
        <f t="shared" si="0"/>
        <v>32275.584000000003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2.48</v>
      </c>
      <c r="E18" s="13">
        <f t="shared" si="0"/>
        <v>18528.576000000001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0.12</v>
      </c>
      <c r="E19" s="13">
        <f>142.4+801</f>
        <v>943.4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0.89</v>
      </c>
      <c r="E20" s="13">
        <f t="shared" si="0"/>
        <v>6649.3680000000004</v>
      </c>
      <c r="F20" s="40"/>
      <c r="G20" s="117"/>
    </row>
    <row r="21" spans="1:7" ht="25.5">
      <c r="A21" s="14" t="s">
        <v>86</v>
      </c>
      <c r="B21" s="11" t="s">
        <v>19</v>
      </c>
      <c r="C21" s="11" t="s">
        <v>8</v>
      </c>
      <c r="D21" s="84">
        <v>0.5</v>
      </c>
      <c r="E21" s="13">
        <f t="shared" si="0"/>
        <v>3735.6000000000004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>
        <v>0.32</v>
      </c>
      <c r="E22" s="13">
        <f t="shared" si="0"/>
        <v>2390.7840000000001</v>
      </c>
      <c r="F22" s="40"/>
      <c r="G22" s="117"/>
    </row>
    <row r="23" spans="1:7" ht="26.25" customHeight="1">
      <c r="A23" s="14" t="s">
        <v>22</v>
      </c>
      <c r="B23" s="11" t="s">
        <v>17</v>
      </c>
      <c r="C23" s="11" t="s">
        <v>8</v>
      </c>
      <c r="D23" s="11">
        <v>0.65</v>
      </c>
      <c r="E23" s="13">
        <f t="shared" si="0"/>
        <v>4856.2800000000007</v>
      </c>
      <c r="F23" s="40"/>
      <c r="G23" s="117"/>
    </row>
    <row r="24" spans="1:7" ht="26.25" customHeight="1">
      <c r="A24" s="21"/>
      <c r="B24" s="22"/>
      <c r="C24" s="22"/>
      <c r="D24" s="22"/>
      <c r="E24" s="23"/>
      <c r="F24" s="40"/>
      <c r="G24" s="117"/>
    </row>
    <row r="25" spans="1:7">
      <c r="A25" s="21" t="s">
        <v>362</v>
      </c>
      <c r="B25" s="22"/>
      <c r="C25" s="22" t="s">
        <v>203</v>
      </c>
      <c r="D25" s="22"/>
      <c r="E25" s="23">
        <v>976</v>
      </c>
      <c r="F25" s="40"/>
    </row>
    <row r="26" spans="1:7" ht="25.5">
      <c r="A26" s="21" t="s">
        <v>363</v>
      </c>
      <c r="B26" s="22"/>
      <c r="C26" s="22" t="s">
        <v>203</v>
      </c>
      <c r="D26" s="22"/>
      <c r="E26" s="23">
        <v>688.26</v>
      </c>
      <c r="F26" s="40"/>
    </row>
    <row r="27" spans="1:7" ht="19.5" thickBot="1">
      <c r="A27" s="16" t="s">
        <v>35</v>
      </c>
      <c r="B27" s="17"/>
      <c r="C27" s="17"/>
      <c r="D27" s="85"/>
      <c r="E27" s="116">
        <f>SUM(E12:E26)</f>
        <v>97641.324000000008</v>
      </c>
      <c r="F27" s="41"/>
      <c r="G27" s="117"/>
    </row>
    <row r="28" spans="1:7">
      <c r="A28" s="5"/>
      <c r="B28" s="5"/>
      <c r="C28" s="5"/>
      <c r="D28" s="5"/>
      <c r="E28" s="6"/>
      <c r="F28" s="6"/>
    </row>
    <row r="29" spans="1:7" ht="36.75" customHeight="1">
      <c r="A29" s="221" t="s">
        <v>475</v>
      </c>
      <c r="B29" s="221"/>
      <c r="C29" s="221"/>
      <c r="D29" s="221"/>
      <c r="E29" s="221"/>
      <c r="F29" s="185"/>
    </row>
    <row r="30" spans="1:7">
      <c r="A30" s="5"/>
      <c r="B30" s="5"/>
      <c r="C30" s="5"/>
      <c r="D30" s="5"/>
      <c r="E30" s="6"/>
      <c r="F30" s="6"/>
    </row>
    <row r="31" spans="1:7" ht="31.5" customHeight="1">
      <c r="A31" s="221" t="s">
        <v>476</v>
      </c>
      <c r="B31" s="221"/>
      <c r="C31" s="221"/>
      <c r="D31" s="221"/>
      <c r="E31" s="221"/>
      <c r="F31" s="185"/>
    </row>
    <row r="32" spans="1:7">
      <c r="A32" s="5"/>
      <c r="B32" s="5"/>
      <c r="C32" s="5"/>
      <c r="D32" s="5"/>
      <c r="E32" s="6"/>
      <c r="F32" s="6"/>
    </row>
    <row r="33" spans="1:6" ht="31.5" customHeight="1">
      <c r="A33" s="221" t="s">
        <v>103</v>
      </c>
      <c r="B33" s="221"/>
      <c r="C33" s="221"/>
      <c r="D33" s="221"/>
      <c r="E33" s="221"/>
      <c r="F33" s="186"/>
    </row>
    <row r="34" spans="1:6">
      <c r="A34" s="185"/>
      <c r="B34" s="185"/>
      <c r="C34" s="185"/>
      <c r="D34" s="185"/>
      <c r="E34" s="185"/>
      <c r="F34" s="6"/>
    </row>
    <row r="35" spans="1:6" ht="28.5" customHeight="1">
      <c r="A35" s="221" t="s">
        <v>24</v>
      </c>
      <c r="B35" s="221"/>
      <c r="C35" s="221"/>
      <c r="D35" s="221"/>
      <c r="E35" s="221"/>
      <c r="F35" s="185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187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  <row r="69" spans="1:1">
      <c r="A69" t="s">
        <v>111</v>
      </c>
    </row>
  </sheetData>
  <mergeCells count="12">
    <mergeCell ref="B45:D45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67"/>
  <sheetViews>
    <sheetView topLeftCell="A9" workbookViewId="0">
      <selection activeCell="F18" sqref="F18:H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179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91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421.2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D12*$H$10*5</f>
        <v>842.40000000000009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D13*$H$10*5</f>
        <v>1095.1199999999999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1.31</v>
      </c>
      <c r="E14" s="13">
        <f>1.31*12*H10</f>
        <v>6621.2640000000001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243</v>
      </c>
      <c r="E15" s="13">
        <f>0.55*$H$10*7+0.6*5*H10</f>
        <v>2885.2200000000003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0.65</v>
      </c>
      <c r="E16" s="13">
        <f t="shared" ref="E16" si="0">D16*$H$10*12</f>
        <v>3285.3600000000006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365</v>
      </c>
      <c r="E17" s="13">
        <f>6.27*$H$10*7+8.37*5*H10</f>
        <v>36113.687999999995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14009.112000000001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0.16</v>
      </c>
      <c r="E19" s="13">
        <f>135.2+760.56</f>
        <v>895.76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4953.3119999999999</v>
      </c>
      <c r="F20" s="40"/>
    </row>
    <row r="21" spans="1:7" ht="25.5">
      <c r="A21" s="14" t="s">
        <v>86</v>
      </c>
      <c r="B21" s="11" t="s">
        <v>19</v>
      </c>
      <c r="C21" s="11" t="s">
        <v>8</v>
      </c>
      <c r="D21" s="84">
        <v>0.61</v>
      </c>
      <c r="E21" s="13">
        <f>0.61*12*H10</f>
        <v>3083.1840000000002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1769.0399999999997</v>
      </c>
      <c r="F22" s="40"/>
      <c r="G22" s="117"/>
    </row>
    <row r="23" spans="1:7" ht="26.25" customHeight="1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8137.5839999999998</v>
      </c>
      <c r="F23" s="40"/>
      <c r="G23" s="117"/>
    </row>
    <row r="24" spans="1:7" ht="26.25" customHeight="1">
      <c r="A24" s="21" t="s">
        <v>206</v>
      </c>
      <c r="B24" s="22"/>
      <c r="C24" s="22" t="s">
        <v>203</v>
      </c>
      <c r="D24" s="22"/>
      <c r="E24" s="218">
        <f>36766.85/1000*H10/2</f>
        <v>7743.0986099999991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91434.142609999995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534</v>
      </c>
      <c r="B27" s="221"/>
      <c r="C27" s="221"/>
      <c r="D27" s="221"/>
      <c r="E27" s="221"/>
      <c r="F27" s="101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221" t="s">
        <v>477</v>
      </c>
      <c r="B29" s="221"/>
      <c r="C29" s="221"/>
      <c r="D29" s="221"/>
      <c r="E29" s="221"/>
      <c r="F29" s="101"/>
    </row>
    <row r="30" spans="1:7">
      <c r="A30" s="5"/>
      <c r="B30" s="5"/>
      <c r="C30" s="5"/>
      <c r="D30" s="5"/>
      <c r="E30" s="6"/>
      <c r="F30" s="6"/>
    </row>
    <row r="31" spans="1:7" ht="31.5" customHeight="1">
      <c r="A31" s="221" t="s">
        <v>103</v>
      </c>
      <c r="B31" s="221"/>
      <c r="C31" s="221"/>
      <c r="D31" s="221"/>
      <c r="E31" s="221"/>
      <c r="F31" s="102"/>
    </row>
    <row r="32" spans="1:7">
      <c r="A32" s="137"/>
      <c r="B32" s="137"/>
      <c r="C32" s="137"/>
      <c r="D32" s="137"/>
      <c r="E32" s="137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01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03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67" spans="1:1">
      <c r="A67" t="s">
        <v>111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opLeftCell="A5" workbookViewId="0">
      <selection activeCell="J24" sqref="J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 ht="15" customHeight="1">
      <c r="A4" s="26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221" t="s">
        <v>124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44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262.10000000000002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115</v>
      </c>
      <c r="C12" s="11" t="s">
        <v>12</v>
      </c>
      <c r="D12" s="12">
        <v>0.13</v>
      </c>
      <c r="E12" s="13">
        <f>D12*G10*12</f>
        <v>408.87600000000009</v>
      </c>
    </row>
    <row r="13" spans="1:7" ht="51">
      <c r="A13" s="14" t="s">
        <v>37</v>
      </c>
      <c r="B13" s="11" t="s">
        <v>17</v>
      </c>
      <c r="C13" s="11" t="s">
        <v>8</v>
      </c>
      <c r="D13" s="12">
        <v>0.55000000000000004</v>
      </c>
      <c r="E13" s="13">
        <f>D13*12*G10</f>
        <v>1729.8600000000004</v>
      </c>
    </row>
    <row r="14" spans="1:7" ht="51">
      <c r="A14" s="14" t="s">
        <v>13</v>
      </c>
      <c r="B14" s="11" t="s">
        <v>115</v>
      </c>
      <c r="C14" s="11" t="s">
        <v>14</v>
      </c>
      <c r="D14" s="12">
        <v>0.17</v>
      </c>
      <c r="E14" s="13">
        <v>565.70000000000005</v>
      </c>
      <c r="G14" s="117"/>
    </row>
    <row r="15" spans="1:7" ht="31.5" customHeight="1">
      <c r="A15" s="14" t="s">
        <v>15</v>
      </c>
      <c r="B15" s="11" t="s">
        <v>115</v>
      </c>
      <c r="C15" s="11" t="s">
        <v>8</v>
      </c>
      <c r="D15" s="11">
        <v>6.1</v>
      </c>
      <c r="E15" s="13">
        <f>D15*12*G10</f>
        <v>19185.719999999998</v>
      </c>
    </row>
    <row r="16" spans="1:7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D16*12*G10</f>
        <v>7800.0960000000005</v>
      </c>
    </row>
    <row r="17" spans="1:7">
      <c r="A17" s="14" t="s">
        <v>36</v>
      </c>
      <c r="B17" s="11" t="s">
        <v>115</v>
      </c>
      <c r="C17" s="11" t="s">
        <v>8</v>
      </c>
      <c r="D17" s="12">
        <v>0.25</v>
      </c>
      <c r="E17" s="13">
        <f>D17*12*G10</f>
        <v>786.30000000000007</v>
      </c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>D18*12*G10</f>
        <v>3082.2960000000003</v>
      </c>
    </row>
    <row r="19" spans="1:7" ht="25.5">
      <c r="A19" s="14" t="s">
        <v>20</v>
      </c>
      <c r="B19" s="11" t="s">
        <v>19</v>
      </c>
      <c r="C19" s="11" t="s">
        <v>8</v>
      </c>
      <c r="D19" s="15">
        <v>0.61</v>
      </c>
      <c r="E19" s="13">
        <f>D19*12*G10</f>
        <v>1918.5720000000003</v>
      </c>
    </row>
    <row r="20" spans="1:7" ht="25.5">
      <c r="A20" s="14" t="s">
        <v>21</v>
      </c>
      <c r="B20" s="11" t="s">
        <v>19</v>
      </c>
      <c r="C20" s="11" t="s">
        <v>8</v>
      </c>
      <c r="D20" s="11">
        <v>0.34</v>
      </c>
      <c r="E20" s="13">
        <f>D20*12*G10</f>
        <v>1069.3680000000002</v>
      </c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1.1000000000000001</v>
      </c>
      <c r="E21" s="13">
        <f>D21*12*G10</f>
        <v>3459.7200000000007</v>
      </c>
      <c r="G21" s="117"/>
    </row>
    <row r="22" spans="1:7" ht="25.5">
      <c r="A22" s="21" t="s">
        <v>206</v>
      </c>
      <c r="B22" s="22"/>
      <c r="C22" s="22" t="s">
        <v>203</v>
      </c>
      <c r="D22" s="22"/>
      <c r="E22" s="191">
        <v>4599</v>
      </c>
      <c r="G22" s="117"/>
    </row>
    <row r="23" spans="1:7" ht="19.5" thickBot="1">
      <c r="A23" s="16" t="s">
        <v>35</v>
      </c>
      <c r="B23" s="17"/>
      <c r="C23" s="17"/>
      <c r="D23" s="18"/>
      <c r="E23" s="116">
        <f>SUM(E12:E22)</f>
        <v>44605.508000000002</v>
      </c>
      <c r="G23" s="117"/>
    </row>
    <row r="24" spans="1:7">
      <c r="A24" s="5"/>
      <c r="B24" s="5"/>
      <c r="C24" s="5"/>
      <c r="D24" s="5"/>
      <c r="E24" s="6"/>
    </row>
    <row r="25" spans="1:7" ht="31.5" customHeight="1">
      <c r="A25" s="221" t="s">
        <v>500</v>
      </c>
      <c r="B25" s="221"/>
      <c r="C25" s="221"/>
      <c r="D25" s="221"/>
      <c r="E25" s="221"/>
    </row>
    <row r="26" spans="1:7">
      <c r="A26" s="140"/>
      <c r="B26" s="140"/>
      <c r="C26" s="140"/>
      <c r="D26" s="140"/>
      <c r="E26" s="141"/>
    </row>
    <row r="27" spans="1:7" ht="30.75" customHeight="1">
      <c r="A27" s="221" t="s">
        <v>249</v>
      </c>
      <c r="B27" s="221"/>
      <c r="C27" s="221"/>
      <c r="D27" s="221"/>
      <c r="E27" s="221"/>
    </row>
    <row r="28" spans="1:7">
      <c r="A28" s="119"/>
      <c r="B28" s="119"/>
      <c r="C28" s="119"/>
      <c r="D28" s="119"/>
      <c r="E28" s="119"/>
    </row>
    <row r="29" spans="1:7" ht="32.25" customHeight="1">
      <c r="A29" s="221" t="s">
        <v>103</v>
      </c>
      <c r="B29" s="221"/>
      <c r="C29" s="221"/>
      <c r="D29" s="221"/>
      <c r="E29" s="221"/>
    </row>
    <row r="30" spans="1:7">
      <c r="A30" s="5"/>
      <c r="B30" s="5"/>
      <c r="C30" s="5"/>
      <c r="D30" s="5"/>
      <c r="E30" s="6"/>
    </row>
    <row r="31" spans="1:7" ht="19.5" customHeight="1">
      <c r="A31" s="222" t="s">
        <v>49</v>
      </c>
      <c r="B31" s="222"/>
      <c r="C31" s="222"/>
      <c r="D31" s="222"/>
      <c r="E31" s="222"/>
    </row>
    <row r="32" spans="1:7">
      <c r="A32" s="5"/>
      <c r="B32" s="5"/>
      <c r="C32" s="5"/>
      <c r="D32" s="5"/>
      <c r="E32" s="6"/>
    </row>
    <row r="33" spans="1:5">
      <c r="A33" s="221" t="s">
        <v>24</v>
      </c>
      <c r="B33" s="221"/>
      <c r="C33" s="221"/>
      <c r="D33" s="221"/>
      <c r="E33" s="221"/>
    </row>
    <row r="34" spans="1:5">
      <c r="A34" s="223" t="s">
        <v>25</v>
      </c>
      <c r="B34" s="223"/>
      <c r="C34" s="223"/>
      <c r="D34" s="223"/>
      <c r="E34" s="223"/>
    </row>
    <row r="35" spans="1:5">
      <c r="A35" s="5"/>
      <c r="B35" s="5"/>
      <c r="C35" s="5"/>
      <c r="D35" s="5"/>
      <c r="E35" s="6"/>
    </row>
    <row r="36" spans="1:5">
      <c r="A36" s="5" t="s">
        <v>26</v>
      </c>
      <c r="B36" s="5" t="s">
        <v>27</v>
      </c>
      <c r="C36" s="5"/>
      <c r="D36" s="5"/>
      <c r="E36" s="6" t="s">
        <v>28</v>
      </c>
    </row>
    <row r="37" spans="1:5">
      <c r="A37" s="5"/>
      <c r="B37" s="220" t="s">
        <v>29</v>
      </c>
      <c r="C37" s="220"/>
      <c r="D37" s="220"/>
      <c r="E37" s="6" t="s">
        <v>30</v>
      </c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 t="s">
        <v>31</v>
      </c>
      <c r="B40" s="5" t="s">
        <v>27</v>
      </c>
      <c r="C40" s="5"/>
      <c r="D40" s="5"/>
      <c r="E40" s="6" t="s">
        <v>28</v>
      </c>
    </row>
    <row r="41" spans="1:5">
      <c r="A41" s="5"/>
      <c r="B41" s="220" t="s">
        <v>29</v>
      </c>
      <c r="C41" s="220"/>
      <c r="D41" s="220"/>
      <c r="E41" s="6" t="s">
        <v>30</v>
      </c>
    </row>
    <row r="42" spans="1:5">
      <c r="A42" s="5"/>
      <c r="B42" s="5"/>
      <c r="C42" s="5"/>
      <c r="D42" s="5"/>
      <c r="E42" s="6"/>
    </row>
  </sheetData>
  <mergeCells count="13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  <mergeCell ref="A33:E33"/>
  </mergeCells>
  <pageMargins left="0.24" right="0.21" top="0.22" bottom="0.24" header="0.16" footer="0.22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72"/>
  <sheetViews>
    <sheetView topLeftCell="A9" workbookViewId="0">
      <selection activeCell="F14" sqref="F14:G1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180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92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397.1</v>
      </c>
    </row>
    <row r="11" spans="1:8" ht="82.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D12*$H$10*2</f>
        <v>317.68000000000006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D13*$H$10*2</f>
        <v>412.98400000000004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>
        <v>1.01</v>
      </c>
      <c r="E14" s="13">
        <f>1.01*12*H10</f>
        <v>4812.8520000000008</v>
      </c>
      <c r="F14" s="40"/>
      <c r="G14" s="117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0.55*$H$10*10+0.6*2*H10</f>
        <v>2660.57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0.1</v>
      </c>
      <c r="E16" s="13">
        <f t="shared" ref="E16:E19" si="0">D16*$H$10*12</f>
        <v>476.5200000000001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367</v>
      </c>
      <c r="E17" s="13">
        <f>8.4*$H$10*10+9.81*2*H10</f>
        <v>41147.502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245</v>
      </c>
      <c r="E18" s="13">
        <f>3.18*12*H10</f>
        <v>15153.336000000003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0.11</v>
      </c>
      <c r="E19" s="13">
        <f t="shared" si="0"/>
        <v>524.17200000000003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4669.8959999999997</v>
      </c>
      <c r="F20" s="40"/>
    </row>
    <row r="21" spans="1:7" ht="25.5">
      <c r="A21" s="14" t="s">
        <v>86</v>
      </c>
      <c r="B21" s="11" t="s">
        <v>19</v>
      </c>
      <c r="C21" s="11" t="s">
        <v>8</v>
      </c>
      <c r="D21" s="84">
        <v>0.61</v>
      </c>
      <c r="E21" s="13">
        <f>0.61*12*H10</f>
        <v>2906.7720000000004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0.35</v>
      </c>
      <c r="E22" s="13">
        <f>0.35*12*H10</f>
        <v>1667.8199999999997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1.61</v>
      </c>
      <c r="E23" s="13">
        <f>1.61*12*H10</f>
        <v>7671.9720000000007</v>
      </c>
      <c r="F23" s="40"/>
      <c r="G23" s="117"/>
    </row>
    <row r="24" spans="1:7" ht="25.5">
      <c r="A24" s="14" t="s">
        <v>356</v>
      </c>
      <c r="B24" s="11"/>
      <c r="C24" s="11" t="s">
        <v>8</v>
      </c>
      <c r="D24" s="11">
        <v>1.68</v>
      </c>
      <c r="E24" s="13">
        <f>D24*2*H10</f>
        <v>1334.2560000000001</v>
      </c>
      <c r="F24" s="40"/>
      <c r="G24" s="117"/>
    </row>
    <row r="25" spans="1:7">
      <c r="A25" s="14" t="s">
        <v>368</v>
      </c>
      <c r="B25" s="11"/>
      <c r="C25" s="11" t="s">
        <v>203</v>
      </c>
      <c r="D25" s="11"/>
      <c r="E25" s="13">
        <v>910</v>
      </c>
      <c r="F25" s="40"/>
      <c r="G25" s="117"/>
    </row>
    <row r="26" spans="1:7" ht="25.5">
      <c r="A26" s="14" t="s">
        <v>410</v>
      </c>
      <c r="B26" s="11"/>
      <c r="C26" s="11" t="s">
        <v>203</v>
      </c>
      <c r="D26" s="11"/>
      <c r="E26" s="13">
        <v>2296</v>
      </c>
      <c r="F26" s="40"/>
      <c r="G26" s="117"/>
    </row>
    <row r="27" spans="1:7" ht="25.5">
      <c r="A27" s="14" t="s">
        <v>206</v>
      </c>
      <c r="B27" s="11"/>
      <c r="C27" s="11" t="s">
        <v>203</v>
      </c>
      <c r="D27" s="11"/>
      <c r="E27" s="219">
        <f>36766.85/1000*H10/2</f>
        <v>7300.0580675000001</v>
      </c>
      <c r="F27" s="40"/>
      <c r="G27" s="117"/>
    </row>
    <row r="28" spans="1:7" ht="19.5" thickBot="1">
      <c r="A28" s="16" t="s">
        <v>35</v>
      </c>
      <c r="B28" s="17"/>
      <c r="C28" s="17"/>
      <c r="D28" s="85"/>
      <c r="E28" s="116">
        <f>SUM(E12:E27)</f>
        <v>94262.390067499975</v>
      </c>
      <c r="F28" s="41"/>
    </row>
    <row r="29" spans="1:7">
      <c r="A29" s="5"/>
      <c r="B29" s="5"/>
      <c r="C29" s="5"/>
      <c r="D29" s="5"/>
      <c r="E29" s="6"/>
      <c r="F29" s="6"/>
    </row>
    <row r="30" spans="1:7" ht="31.5" customHeight="1">
      <c r="A30" s="221" t="s">
        <v>535</v>
      </c>
      <c r="B30" s="221"/>
      <c r="C30" s="221"/>
      <c r="D30" s="221"/>
      <c r="E30" s="221"/>
      <c r="F30" s="101"/>
    </row>
    <row r="31" spans="1:7">
      <c r="A31" s="140"/>
      <c r="B31" s="140"/>
      <c r="C31" s="140"/>
      <c r="D31" s="140"/>
      <c r="E31" s="141"/>
      <c r="F31" s="6"/>
    </row>
    <row r="32" spans="1:7" ht="32.25" customHeight="1">
      <c r="A32" s="221" t="s">
        <v>478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 ht="30.75" customHeight="1">
      <c r="A34" s="221" t="s">
        <v>103</v>
      </c>
      <c r="B34" s="221"/>
      <c r="C34" s="221"/>
      <c r="D34" s="221"/>
      <c r="E34" s="221"/>
      <c r="F34" s="102"/>
    </row>
    <row r="35" spans="1:6">
      <c r="A35" s="137"/>
      <c r="B35" s="137"/>
      <c r="C35" s="137"/>
      <c r="D35" s="137"/>
      <c r="E35" s="137"/>
      <c r="F35" s="6"/>
    </row>
    <row r="36" spans="1:6" ht="28.5" customHeight="1">
      <c r="A36" s="221" t="s">
        <v>24</v>
      </c>
      <c r="B36" s="221"/>
      <c r="C36" s="221"/>
      <c r="D36" s="221"/>
      <c r="E36" s="221"/>
      <c r="F36" s="101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223" t="s">
        <v>25</v>
      </c>
      <c r="B39" s="223"/>
      <c r="C39" s="223"/>
      <c r="D39" s="223"/>
      <c r="E39" s="223"/>
      <c r="F39" s="103"/>
    </row>
    <row r="40" spans="1:6">
      <c r="A40" s="5"/>
      <c r="B40" s="5"/>
      <c r="C40" s="5"/>
      <c r="D40" s="5"/>
      <c r="E40" s="6"/>
      <c r="F40" s="6"/>
    </row>
    <row r="41" spans="1:6">
      <c r="A41" s="5" t="s">
        <v>26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  <c r="F44" s="6"/>
    </row>
    <row r="45" spans="1:6">
      <c r="A45" s="5" t="s">
        <v>31</v>
      </c>
      <c r="B45" s="5" t="s">
        <v>27</v>
      </c>
      <c r="C45" s="5"/>
      <c r="D45" s="5"/>
      <c r="E45" s="6" t="s">
        <v>28</v>
      </c>
      <c r="F45" s="6"/>
    </row>
    <row r="46" spans="1:6">
      <c r="A46" s="5"/>
      <c r="B46" s="220" t="s">
        <v>29</v>
      </c>
      <c r="C46" s="220"/>
      <c r="D46" s="220"/>
      <c r="E46" s="6" t="s">
        <v>30</v>
      </c>
      <c r="F46" s="6"/>
    </row>
    <row r="47" spans="1:6">
      <c r="A47" s="5"/>
      <c r="B47" s="5"/>
      <c r="C47" s="5"/>
      <c r="D47" s="5"/>
      <c r="E47" s="6"/>
      <c r="F47" s="6"/>
    </row>
    <row r="72" spans="1:1">
      <c r="A72" t="s">
        <v>111</v>
      </c>
    </row>
  </sheetData>
  <mergeCells count="12">
    <mergeCell ref="B46:D46"/>
    <mergeCell ref="A1:E1"/>
    <mergeCell ref="A2:E2"/>
    <mergeCell ref="D4:E4"/>
    <mergeCell ref="A7:E7"/>
    <mergeCell ref="A9:E9"/>
    <mergeCell ref="A30:E30"/>
    <mergeCell ref="A32:E32"/>
    <mergeCell ref="A34:E34"/>
    <mergeCell ref="A36:E36"/>
    <mergeCell ref="A39:E39"/>
    <mergeCell ref="B42:D42"/>
  </mergeCells>
  <pageMargins left="0.24" right="0.21" top="0.4" bottom="0.32" header="0.3" footer="0.2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68"/>
  <sheetViews>
    <sheetView topLeftCell="A9" workbookViewId="0">
      <selection activeCell="F19" sqref="F19:H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181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93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376.8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D12*$H$10*5</f>
        <v>753.6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D13*$H$10*5</f>
        <v>979.68000000000006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 t="s">
        <v>369</v>
      </c>
      <c r="E14" s="13">
        <f>1.06*12*H10</f>
        <v>4792.8960000000006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1.04*$H$10*7+0.6*5*H10</f>
        <v>3873.5040000000004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0.35</v>
      </c>
      <c r="E16" s="13">
        <f t="shared" ref="E16" si="0">D16*$H$10*12</f>
        <v>1582.56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370</v>
      </c>
      <c r="E17" s="13">
        <f>5.48*$H$10*7+7.57*H10*5</f>
        <v>28715.928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3.18*12*H10</f>
        <v>14378.688000000002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0.18</v>
      </c>
      <c r="E19" s="13">
        <f>D19*12*H10</f>
        <v>813.88800000000003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4431.1679999999997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1582.5599999999997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1.61*12*H10</f>
        <v>7279.7760000000007</v>
      </c>
      <c r="F22" s="40"/>
      <c r="G22" s="117"/>
    </row>
    <row r="23" spans="1:7" ht="27.75" customHeight="1">
      <c r="A23" s="21" t="s">
        <v>356</v>
      </c>
      <c r="B23" s="22"/>
      <c r="C23" s="11" t="s">
        <v>8</v>
      </c>
      <c r="D23" s="22">
        <v>1.77</v>
      </c>
      <c r="E23" s="13">
        <f>D23*5*H10</f>
        <v>3334.68</v>
      </c>
      <c r="F23" s="40"/>
    </row>
    <row r="24" spans="1:7" ht="27.75" customHeight="1">
      <c r="A24" s="14" t="s">
        <v>206</v>
      </c>
      <c r="B24" s="11"/>
      <c r="C24" s="11" t="s">
        <v>203</v>
      </c>
      <c r="D24" s="11"/>
      <c r="E24" s="219">
        <f>36766.85/1000*H10/2</f>
        <v>6926.8745399999998</v>
      </c>
      <c r="F24" s="40"/>
    </row>
    <row r="25" spans="1:7" ht="19.5" thickBot="1">
      <c r="A25" s="16" t="s">
        <v>35</v>
      </c>
      <c r="B25" s="17"/>
      <c r="C25" s="17"/>
      <c r="D25" s="85"/>
      <c r="E25" s="32">
        <f>SUM(E12:E24)</f>
        <v>79445.802540000004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221" t="s">
        <v>536</v>
      </c>
      <c r="B27" s="221"/>
      <c r="C27" s="221"/>
      <c r="D27" s="221"/>
      <c r="E27" s="221"/>
      <c r="F27" s="101"/>
    </row>
    <row r="28" spans="1:7">
      <c r="A28" s="5"/>
      <c r="B28" s="5"/>
      <c r="C28" s="5"/>
      <c r="D28" s="5"/>
      <c r="E28" s="6"/>
      <c r="F28" s="6"/>
    </row>
    <row r="29" spans="1:7" ht="45.75" customHeight="1">
      <c r="A29" s="221" t="s">
        <v>479</v>
      </c>
      <c r="B29" s="221"/>
      <c r="C29" s="221"/>
      <c r="D29" s="221"/>
      <c r="E29" s="221"/>
      <c r="F29" s="101"/>
    </row>
    <row r="30" spans="1:7">
      <c r="A30" s="5"/>
      <c r="B30" s="5"/>
      <c r="C30" s="5"/>
      <c r="D30" s="5"/>
      <c r="E30" s="6"/>
      <c r="F30" s="6"/>
    </row>
    <row r="31" spans="1:7" ht="33" customHeight="1">
      <c r="A31" s="221" t="s">
        <v>103</v>
      </c>
      <c r="B31" s="221"/>
      <c r="C31" s="221"/>
      <c r="D31" s="221"/>
      <c r="E31" s="221"/>
      <c r="F31" s="102"/>
    </row>
    <row r="32" spans="1:7">
      <c r="A32" s="137"/>
      <c r="B32" s="137"/>
      <c r="C32" s="137"/>
      <c r="D32" s="137"/>
      <c r="E32" s="137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01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03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68" spans="1:1">
      <c r="A68" t="s">
        <v>111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43"/>
  <sheetViews>
    <sheetView topLeftCell="A8" workbookViewId="0">
      <selection activeCell="F12" sqref="F12:G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98"/>
    </row>
    <row r="2" spans="1:8" ht="36" customHeight="1">
      <c r="A2" s="225" t="s">
        <v>1</v>
      </c>
      <c r="B2" s="225"/>
      <c r="C2" s="225"/>
      <c r="D2" s="225"/>
      <c r="E2" s="225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26" t="s">
        <v>209</v>
      </c>
      <c r="E4" s="226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182</v>
      </c>
      <c r="B7" s="221"/>
      <c r="C7" s="221"/>
      <c r="D7" s="221"/>
      <c r="E7" s="221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94</v>
      </c>
      <c r="B9" s="221"/>
      <c r="C9" s="221"/>
      <c r="D9" s="221"/>
      <c r="E9" s="221"/>
      <c r="F9" s="101"/>
    </row>
    <row r="10" spans="1:8" ht="15.75" thickBot="1">
      <c r="A10" s="5"/>
      <c r="B10" s="5"/>
      <c r="C10" s="5"/>
      <c r="D10" s="5"/>
      <c r="E10" s="6"/>
      <c r="F10" s="6"/>
      <c r="H10">
        <v>386.5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0.36</v>
      </c>
      <c r="E12" s="13">
        <v>1650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0.55000000000000004</v>
      </c>
      <c r="E13" s="13">
        <f t="shared" ref="E13:E21" si="0">D13*$H$10*12</f>
        <v>2550.9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0.05</v>
      </c>
      <c r="E14" s="13">
        <f t="shared" si="0"/>
        <v>231.90000000000003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8.99</v>
      </c>
      <c r="E15" s="13">
        <f t="shared" si="0"/>
        <v>41695.620000000003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10296.36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0.17</v>
      </c>
      <c r="E17" s="13">
        <f t="shared" si="0"/>
        <v>788.46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4545.24</v>
      </c>
      <c r="F18" s="40"/>
    </row>
    <row r="19" spans="1:7" ht="25.5">
      <c r="A19" s="14" t="s">
        <v>86</v>
      </c>
      <c r="B19" s="11" t="s">
        <v>19</v>
      </c>
      <c r="C19" s="11" t="s">
        <v>8</v>
      </c>
      <c r="D19" s="84">
        <v>0.61</v>
      </c>
      <c r="E19" s="13">
        <f t="shared" si="0"/>
        <v>2829.18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 t="shared" si="0"/>
        <v>1623.2999999999997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f t="shared" si="0"/>
        <v>7467.18</v>
      </c>
      <c r="F21" s="40"/>
      <c r="G21" s="117"/>
    </row>
    <row r="22" spans="1:7">
      <c r="A22" s="21" t="s">
        <v>371</v>
      </c>
      <c r="B22" s="22"/>
      <c r="C22" s="22" t="s">
        <v>203</v>
      </c>
      <c r="D22" s="22"/>
      <c r="E22" s="23">
        <v>910</v>
      </c>
      <c r="F22" s="40"/>
    </row>
    <row r="23" spans="1:7" ht="25.5">
      <c r="A23" s="14" t="s">
        <v>206</v>
      </c>
      <c r="B23" s="11"/>
      <c r="C23" s="11" t="s">
        <v>203</v>
      </c>
      <c r="D23" s="11"/>
      <c r="E23" s="219">
        <f>36766.85/1000*H10/2</f>
        <v>7105.1937625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81693.333762499984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0" customHeight="1">
      <c r="A26" s="221" t="s">
        <v>537</v>
      </c>
      <c r="B26" s="221"/>
      <c r="C26" s="221"/>
      <c r="D26" s="221"/>
      <c r="E26" s="221"/>
      <c r="F26" s="101"/>
    </row>
    <row r="27" spans="1:7">
      <c r="A27" s="5"/>
      <c r="B27" s="5"/>
      <c r="C27" s="5"/>
      <c r="D27" s="5"/>
      <c r="E27" s="6"/>
      <c r="F27" s="6"/>
    </row>
    <row r="28" spans="1:7" ht="34.5" customHeight="1">
      <c r="A28" s="221" t="s">
        <v>480</v>
      </c>
      <c r="B28" s="221"/>
      <c r="C28" s="221"/>
      <c r="D28" s="221"/>
      <c r="E28" s="221"/>
      <c r="F28" s="10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221" t="s">
        <v>103</v>
      </c>
      <c r="B30" s="221"/>
      <c r="C30" s="221"/>
      <c r="D30" s="221"/>
      <c r="E30" s="221"/>
      <c r="F30" s="102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65"/>
  <sheetViews>
    <sheetView topLeftCell="A10" workbookViewId="0">
      <selection activeCell="A24" sqref="A24:E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04"/>
    </row>
    <row r="2" spans="1:8" ht="36" customHeight="1">
      <c r="A2" s="225" t="s">
        <v>1</v>
      </c>
      <c r="B2" s="225"/>
      <c r="C2" s="225"/>
      <c r="D2" s="225"/>
      <c r="E2" s="225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26" t="s">
        <v>209</v>
      </c>
      <c r="E4" s="226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183</v>
      </c>
      <c r="B7" s="221"/>
      <c r="C7" s="221"/>
      <c r="D7" s="221"/>
      <c r="E7" s="221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95</v>
      </c>
      <c r="B9" s="221"/>
      <c r="C9" s="221"/>
      <c r="D9" s="221"/>
      <c r="E9" s="221"/>
      <c r="F9" s="107"/>
    </row>
    <row r="10" spans="1:8" ht="15.75" thickBot="1">
      <c r="A10" s="5"/>
      <c r="B10" s="5"/>
      <c r="C10" s="5"/>
      <c r="D10" s="5"/>
      <c r="E10" s="6"/>
      <c r="F10" s="6"/>
      <c r="H10">
        <v>385.8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>
        <v>0.45</v>
      </c>
      <c r="E12" s="13">
        <v>2100</v>
      </c>
      <c r="F12" s="40"/>
      <c r="G12" s="117"/>
    </row>
    <row r="13" spans="1:8" ht="51">
      <c r="A13" s="14" t="s">
        <v>37</v>
      </c>
      <c r="B13" s="11" t="s">
        <v>17</v>
      </c>
      <c r="C13" s="11" t="s">
        <v>8</v>
      </c>
      <c r="D13" s="12">
        <v>0.6</v>
      </c>
      <c r="E13" s="13">
        <f t="shared" ref="E13:E21" si="0">D13*$H$10*12</f>
        <v>2777.7599999999998</v>
      </c>
      <c r="F13" s="40"/>
    </row>
    <row r="14" spans="1:8" ht="51">
      <c r="A14" s="14" t="s">
        <v>13</v>
      </c>
      <c r="B14" s="11" t="s">
        <v>115</v>
      </c>
      <c r="C14" s="11" t="s">
        <v>14</v>
      </c>
      <c r="D14" s="12">
        <v>0.05</v>
      </c>
      <c r="E14" s="13">
        <f t="shared" si="0"/>
        <v>231.48000000000002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8.07</v>
      </c>
      <c r="E15" s="13">
        <f t="shared" si="0"/>
        <v>37360.872000000003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10277.712000000001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0.3</v>
      </c>
      <c r="E17" s="13">
        <f t="shared" si="0"/>
        <v>1388.8799999999999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4537.0079999999998</v>
      </c>
      <c r="F18" s="40"/>
    </row>
    <row r="19" spans="1:7" ht="25.5">
      <c r="A19" s="14" t="s">
        <v>79</v>
      </c>
      <c r="B19" s="11" t="s">
        <v>19</v>
      </c>
      <c r="C19" s="11" t="s">
        <v>8</v>
      </c>
      <c r="D19" s="84">
        <v>1.69</v>
      </c>
      <c r="E19" s="13">
        <v>7555.56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 t="shared" si="0"/>
        <v>1620.3600000000001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1.61</v>
      </c>
      <c r="E21" s="13">
        <f t="shared" si="0"/>
        <v>7453.6560000000009</v>
      </c>
      <c r="F21" s="40"/>
      <c r="G21" s="117"/>
    </row>
    <row r="22" spans="1:7" ht="19.5" thickBot="1">
      <c r="A22" s="16" t="s">
        <v>35</v>
      </c>
      <c r="B22" s="17"/>
      <c r="C22" s="17"/>
      <c r="D22" s="85"/>
      <c r="E22" s="116">
        <f>SUM(E12:E21)</f>
        <v>75303.288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1.5" customHeight="1">
      <c r="A24" s="221" t="s">
        <v>538</v>
      </c>
      <c r="B24" s="221"/>
      <c r="C24" s="221"/>
      <c r="D24" s="221"/>
      <c r="E24" s="221"/>
      <c r="F24" s="107"/>
    </row>
    <row r="25" spans="1:7">
      <c r="A25" s="5"/>
      <c r="B25" s="5"/>
      <c r="C25" s="5"/>
      <c r="D25" s="5"/>
      <c r="E25" s="6"/>
      <c r="F25" s="6"/>
    </row>
    <row r="26" spans="1:7" ht="33" customHeight="1">
      <c r="A26" s="221" t="s">
        <v>481</v>
      </c>
      <c r="B26" s="221"/>
      <c r="C26" s="221"/>
      <c r="D26" s="221"/>
      <c r="E26" s="221"/>
      <c r="F26" s="107"/>
    </row>
    <row r="27" spans="1:7">
      <c r="A27" s="5"/>
      <c r="B27" s="5"/>
      <c r="C27" s="5"/>
      <c r="D27" s="5"/>
      <c r="E27" s="6"/>
      <c r="F27" s="6"/>
    </row>
    <row r="28" spans="1:7" ht="29.25" customHeight="1">
      <c r="A28" s="221" t="s">
        <v>103</v>
      </c>
      <c r="B28" s="221"/>
      <c r="C28" s="221"/>
      <c r="D28" s="221"/>
      <c r="E28" s="221"/>
      <c r="F28" s="108"/>
    </row>
    <row r="29" spans="1:7">
      <c r="A29" s="137"/>
      <c r="B29" s="137"/>
      <c r="C29" s="137"/>
      <c r="D29" s="137"/>
      <c r="E29" s="137"/>
      <c r="F29" s="6"/>
    </row>
    <row r="30" spans="1:7" ht="28.5" customHeight="1">
      <c r="A30" s="221" t="s">
        <v>24</v>
      </c>
      <c r="B30" s="221"/>
      <c r="C30" s="221"/>
      <c r="D30" s="221"/>
      <c r="E30" s="221"/>
      <c r="F30" s="107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23" t="s">
        <v>25</v>
      </c>
      <c r="B33" s="223"/>
      <c r="C33" s="223"/>
      <c r="D33" s="223"/>
      <c r="E33" s="223"/>
      <c r="F33" s="109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220" t="s">
        <v>29</v>
      </c>
      <c r="C36" s="220"/>
      <c r="D36" s="220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65" spans="1:1">
      <c r="A65" t="s">
        <v>111</v>
      </c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74"/>
  <sheetViews>
    <sheetView topLeftCell="A9" workbookViewId="0">
      <selection activeCell="G28" sqref="G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82"/>
    </row>
    <row r="2" spans="1:8" ht="36" customHeight="1">
      <c r="A2" s="225" t="s">
        <v>1</v>
      </c>
      <c r="B2" s="225"/>
      <c r="C2" s="225"/>
      <c r="D2" s="225"/>
      <c r="E2" s="225"/>
      <c r="F2" s="183"/>
    </row>
    <row r="3" spans="1:8">
      <c r="A3" s="1"/>
      <c r="B3" s="1"/>
      <c r="C3" s="1"/>
      <c r="D3" s="1"/>
      <c r="E3" s="2"/>
      <c r="F3" s="2"/>
    </row>
    <row r="4" spans="1:8" ht="15" customHeight="1">
      <c r="A4" s="185" t="s">
        <v>2</v>
      </c>
      <c r="B4" s="1"/>
      <c r="C4" s="1"/>
      <c r="D4" s="226" t="s">
        <v>209</v>
      </c>
      <c r="E4" s="226"/>
      <c r="F4" s="18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194</v>
      </c>
      <c r="B7" s="221"/>
      <c r="C7" s="221"/>
      <c r="D7" s="221"/>
      <c r="E7" s="221"/>
      <c r="F7" s="18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195</v>
      </c>
      <c r="B9" s="221"/>
      <c r="C9" s="221"/>
      <c r="D9" s="221"/>
      <c r="E9" s="221"/>
      <c r="F9" s="185"/>
    </row>
    <row r="10" spans="1:8" ht="15.75" thickBot="1">
      <c r="A10" s="5"/>
      <c r="B10" s="5"/>
      <c r="C10" s="5"/>
      <c r="D10" s="5"/>
      <c r="E10" s="6"/>
      <c r="F10" s="6"/>
      <c r="H10">
        <v>1262.2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0.6</v>
      </c>
      <c r="E12" s="181">
        <f>D12*12*$H$10</f>
        <v>9087.84</v>
      </c>
      <c r="F12" s="39"/>
    </row>
    <row r="13" spans="1:8" ht="60">
      <c r="A13" s="180" t="s">
        <v>138</v>
      </c>
      <c r="B13" s="213" t="s">
        <v>137</v>
      </c>
      <c r="C13" s="11" t="s">
        <v>8</v>
      </c>
      <c r="D13" s="15">
        <v>0.93</v>
      </c>
      <c r="E13" s="181">
        <f t="shared" ref="E13:E21" si="0">D13*12*$H$10</f>
        <v>14086.152</v>
      </c>
      <c r="F13" s="39"/>
    </row>
    <row r="14" spans="1:8" ht="51">
      <c r="A14" s="14" t="s">
        <v>37</v>
      </c>
      <c r="B14" s="11" t="s">
        <v>17</v>
      </c>
      <c r="C14" s="11" t="s">
        <v>8</v>
      </c>
      <c r="D14" s="12">
        <v>0.84</v>
      </c>
      <c r="E14" s="181">
        <f t="shared" si="0"/>
        <v>12722.976000000001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3.58</v>
      </c>
      <c r="E15" s="181">
        <f t="shared" si="0"/>
        <v>54224.112000000001</v>
      </c>
      <c r="F15" s="40"/>
    </row>
    <row r="16" spans="1:8">
      <c r="A16" s="14" t="s">
        <v>32</v>
      </c>
      <c r="B16" s="11" t="s">
        <v>115</v>
      </c>
      <c r="C16" s="11" t="s">
        <v>8</v>
      </c>
      <c r="D16" s="12">
        <v>2.98</v>
      </c>
      <c r="E16" s="181">
        <f t="shared" si="0"/>
        <v>45136.271999999997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0.15</v>
      </c>
      <c r="E17" s="181">
        <f t="shared" si="0"/>
        <v>2271.96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0.89</v>
      </c>
      <c r="E18" s="181">
        <f t="shared" si="0"/>
        <v>13480.296</v>
      </c>
      <c r="F18" s="40"/>
    </row>
    <row r="19" spans="1:7" ht="25.5">
      <c r="A19" s="14" t="s">
        <v>86</v>
      </c>
      <c r="B19" s="11" t="s">
        <v>19</v>
      </c>
      <c r="C19" s="11" t="s">
        <v>8</v>
      </c>
      <c r="D19" s="84">
        <v>0.5</v>
      </c>
      <c r="E19" s="181">
        <f t="shared" si="0"/>
        <v>7573.2000000000007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0.32</v>
      </c>
      <c r="E20" s="181">
        <f t="shared" si="0"/>
        <v>4846.848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1.97</v>
      </c>
      <c r="E21" s="181">
        <f t="shared" si="0"/>
        <v>29838.408000000003</v>
      </c>
      <c r="F21" s="40"/>
      <c r="G21" s="117"/>
    </row>
    <row r="22" spans="1:7" ht="16.5" customHeight="1">
      <c r="A22" s="21" t="s">
        <v>232</v>
      </c>
      <c r="B22" s="22"/>
      <c r="C22" s="22" t="s">
        <v>203</v>
      </c>
      <c r="D22" s="22"/>
      <c r="E22" s="23">
        <v>1911</v>
      </c>
      <c r="F22" s="40"/>
    </row>
    <row r="23" spans="1:7">
      <c r="A23" s="215" t="s">
        <v>372</v>
      </c>
      <c r="B23" s="11"/>
      <c r="C23" s="216" t="s">
        <v>203</v>
      </c>
      <c r="D23" s="22"/>
      <c r="E23" s="23">
        <v>2660</v>
      </c>
      <c r="F23" s="40"/>
    </row>
    <row r="24" spans="1:7">
      <c r="A24" s="190" t="s">
        <v>373</v>
      </c>
      <c r="B24" s="217"/>
      <c r="C24" s="22" t="s">
        <v>203</v>
      </c>
      <c r="D24" s="22"/>
      <c r="E24" s="23">
        <f>1041+3501</f>
        <v>4542</v>
      </c>
      <c r="F24" s="40"/>
    </row>
    <row r="25" spans="1:7" ht="25.5">
      <c r="A25" s="190" t="s">
        <v>411</v>
      </c>
      <c r="B25" s="22"/>
      <c r="C25" s="22" t="s">
        <v>203</v>
      </c>
      <c r="D25" s="22"/>
      <c r="E25" s="23">
        <v>59393</v>
      </c>
      <c r="F25" s="40"/>
    </row>
    <row r="26" spans="1:7">
      <c r="A26" s="190" t="s">
        <v>412</v>
      </c>
      <c r="B26" s="22"/>
      <c r="C26" s="22" t="s">
        <v>203</v>
      </c>
      <c r="D26" s="22"/>
      <c r="E26" s="23">
        <v>134385</v>
      </c>
      <c r="F26" s="40"/>
    </row>
    <row r="27" spans="1:7" ht="28.5" customHeight="1">
      <c r="A27" s="190" t="s">
        <v>413</v>
      </c>
      <c r="B27" s="22"/>
      <c r="C27" s="22" t="s">
        <v>203</v>
      </c>
      <c r="D27" s="22"/>
      <c r="E27" s="23">
        <v>14423</v>
      </c>
      <c r="F27" s="40"/>
    </row>
    <row r="28" spans="1:7" ht="19.5" thickBot="1">
      <c r="A28" s="16" t="s">
        <v>35</v>
      </c>
      <c r="B28" s="17"/>
      <c r="C28" s="17"/>
      <c r="D28" s="85"/>
      <c r="E28" s="116">
        <f>SUM(E12:E27)</f>
        <v>410582.06400000001</v>
      </c>
      <c r="F28" s="41"/>
      <c r="G28" s="117"/>
    </row>
    <row r="29" spans="1:7">
      <c r="A29" s="5"/>
      <c r="B29" s="5"/>
      <c r="C29" s="5"/>
      <c r="D29" s="5"/>
      <c r="E29" s="6"/>
      <c r="F29" s="6"/>
    </row>
    <row r="30" spans="1:7" ht="36.75" customHeight="1">
      <c r="A30" s="221" t="s">
        <v>482</v>
      </c>
      <c r="B30" s="221"/>
      <c r="C30" s="221"/>
      <c r="D30" s="221"/>
      <c r="E30" s="221"/>
      <c r="F30" s="185"/>
    </row>
    <row r="31" spans="1:7">
      <c r="A31" s="5"/>
      <c r="B31" s="5"/>
      <c r="C31" s="5"/>
      <c r="D31" s="5"/>
      <c r="E31" s="6"/>
      <c r="F31" s="6"/>
    </row>
    <row r="32" spans="1:7" ht="46.5" customHeight="1">
      <c r="A32" s="221" t="s">
        <v>483</v>
      </c>
      <c r="B32" s="221"/>
      <c r="C32" s="221"/>
      <c r="D32" s="221"/>
      <c r="E32" s="221"/>
      <c r="F32" s="185"/>
    </row>
    <row r="33" spans="1:6">
      <c r="A33" s="5"/>
      <c r="B33" s="5"/>
      <c r="C33" s="5"/>
      <c r="D33" s="5"/>
      <c r="E33" s="6"/>
      <c r="F33" s="6"/>
    </row>
    <row r="34" spans="1:6" ht="30" customHeight="1">
      <c r="A34" s="221" t="s">
        <v>103</v>
      </c>
      <c r="B34" s="221"/>
      <c r="C34" s="221"/>
      <c r="D34" s="221"/>
      <c r="E34" s="221"/>
      <c r="F34" s="186"/>
    </row>
    <row r="35" spans="1:6">
      <c r="A35" s="185"/>
      <c r="B35" s="185"/>
      <c r="C35" s="185"/>
      <c r="D35" s="185"/>
      <c r="E35" s="185"/>
      <c r="F35" s="6"/>
    </row>
    <row r="36" spans="1:6" ht="28.5" customHeight="1">
      <c r="A36" s="221" t="s">
        <v>24</v>
      </c>
      <c r="B36" s="221"/>
      <c r="C36" s="221"/>
      <c r="D36" s="221"/>
      <c r="E36" s="221"/>
      <c r="F36" s="185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223" t="s">
        <v>25</v>
      </c>
      <c r="B39" s="223"/>
      <c r="C39" s="223"/>
      <c r="D39" s="223"/>
      <c r="E39" s="223"/>
      <c r="F39" s="187"/>
    </row>
    <row r="40" spans="1:6">
      <c r="A40" s="5"/>
      <c r="B40" s="5"/>
      <c r="C40" s="5"/>
      <c r="D40" s="5"/>
      <c r="E40" s="6"/>
      <c r="F40" s="6"/>
    </row>
    <row r="41" spans="1:6">
      <c r="A41" s="5" t="s">
        <v>26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  <c r="F44" s="6"/>
    </row>
    <row r="45" spans="1:6">
      <c r="A45" s="5" t="s">
        <v>31</v>
      </c>
      <c r="B45" s="5" t="s">
        <v>27</v>
      </c>
      <c r="C45" s="5"/>
      <c r="D45" s="5"/>
      <c r="E45" s="6" t="s">
        <v>28</v>
      </c>
      <c r="F45" s="6"/>
    </row>
    <row r="46" spans="1:6">
      <c r="A46" s="5"/>
      <c r="B46" s="220" t="s">
        <v>29</v>
      </c>
      <c r="C46" s="220"/>
      <c r="D46" s="220"/>
      <c r="E46" s="6" t="s">
        <v>30</v>
      </c>
      <c r="F46" s="6"/>
    </row>
    <row r="47" spans="1:6">
      <c r="A47" s="5"/>
      <c r="B47" s="5"/>
      <c r="C47" s="5"/>
      <c r="D47" s="5"/>
      <c r="E47" s="6"/>
      <c r="F47" s="6"/>
    </row>
    <row r="74" spans="1:1">
      <c r="A74" t="s">
        <v>111</v>
      </c>
    </row>
  </sheetData>
  <mergeCells count="12">
    <mergeCell ref="B46:D46"/>
    <mergeCell ref="A1:E1"/>
    <mergeCell ref="A2:E2"/>
    <mergeCell ref="D4:E4"/>
    <mergeCell ref="A7:E7"/>
    <mergeCell ref="A9:E9"/>
    <mergeCell ref="A30:E30"/>
    <mergeCell ref="A32:E32"/>
    <mergeCell ref="A34:E34"/>
    <mergeCell ref="A36:E36"/>
    <mergeCell ref="A39:E39"/>
    <mergeCell ref="B42:D42"/>
  </mergeCells>
  <pageMargins left="0.24" right="0.21" top="0.4" bottom="0.32" header="0.3" footer="0.2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71"/>
  <sheetViews>
    <sheetView topLeftCell="A10" workbookViewId="0">
      <selection activeCell="E19" sqref="E1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82"/>
    </row>
    <row r="2" spans="1:8" ht="36" customHeight="1">
      <c r="A2" s="225" t="s">
        <v>1</v>
      </c>
      <c r="B2" s="225"/>
      <c r="C2" s="225"/>
      <c r="D2" s="225"/>
      <c r="E2" s="225"/>
      <c r="F2" s="183"/>
    </row>
    <row r="3" spans="1:8">
      <c r="A3" s="1"/>
      <c r="B3" s="1"/>
      <c r="C3" s="1"/>
      <c r="D3" s="1"/>
      <c r="E3" s="2"/>
      <c r="F3" s="2"/>
    </row>
    <row r="4" spans="1:8" ht="15" customHeight="1">
      <c r="A4" s="185" t="s">
        <v>2</v>
      </c>
      <c r="B4" s="1"/>
      <c r="C4" s="1"/>
      <c r="D4" s="226" t="s">
        <v>113</v>
      </c>
      <c r="E4" s="226"/>
      <c r="F4" s="184"/>
    </row>
    <row r="5" spans="1:8">
      <c r="A5" s="1"/>
      <c r="B5" s="1"/>
      <c r="C5" s="1"/>
      <c r="D5" s="1"/>
      <c r="E5" s="226" t="s">
        <v>209</v>
      </c>
      <c r="F5" s="226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196</v>
      </c>
      <c r="B7" s="221"/>
      <c r="C7" s="221"/>
      <c r="D7" s="221"/>
      <c r="E7" s="221"/>
      <c r="F7" s="18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199</v>
      </c>
      <c r="B9" s="221"/>
      <c r="C9" s="221"/>
      <c r="D9" s="221"/>
      <c r="E9" s="221"/>
      <c r="F9" s="185"/>
    </row>
    <row r="10" spans="1:8" ht="15.75" thickBot="1">
      <c r="A10" s="5"/>
      <c r="B10" s="5"/>
      <c r="C10" s="5"/>
      <c r="D10" s="5"/>
      <c r="E10" s="6"/>
      <c r="F10" s="6"/>
      <c r="H10">
        <v>1050.5999999999999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0.8</v>
      </c>
      <c r="E12" s="13">
        <f t="shared" ref="E12:E21" si="0">D12*$H$10*12</f>
        <v>10085.76</v>
      </c>
      <c r="F12" s="39"/>
    </row>
    <row r="13" spans="1:8" ht="60">
      <c r="A13" s="180" t="s">
        <v>138</v>
      </c>
      <c r="B13" s="213" t="s">
        <v>137</v>
      </c>
      <c r="C13" s="11" t="s">
        <v>8</v>
      </c>
      <c r="D13" s="15">
        <v>0.93</v>
      </c>
      <c r="E13" s="13">
        <f t="shared" si="0"/>
        <v>11724.696</v>
      </c>
      <c r="F13" s="39"/>
    </row>
    <row r="14" spans="1:8" ht="51">
      <c r="A14" s="14" t="s">
        <v>37</v>
      </c>
      <c r="B14" s="11" t="s">
        <v>17</v>
      </c>
      <c r="C14" s="11" t="s">
        <v>8</v>
      </c>
      <c r="D14" s="12">
        <v>1.04</v>
      </c>
      <c r="E14" s="13">
        <f t="shared" si="0"/>
        <v>13111.488000000001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>
        <v>3.42</v>
      </c>
      <c r="E15" s="13">
        <f t="shared" si="0"/>
        <v>43116.623999999996</v>
      </c>
      <c r="F15" s="40"/>
    </row>
    <row r="16" spans="1:8">
      <c r="A16" s="14" t="s">
        <v>32</v>
      </c>
      <c r="B16" s="11" t="s">
        <v>115</v>
      </c>
      <c r="C16" s="11" t="s">
        <v>8</v>
      </c>
      <c r="D16" s="12">
        <v>2.98</v>
      </c>
      <c r="E16" s="13">
        <f t="shared" si="0"/>
        <v>37569.455999999991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0.21</v>
      </c>
      <c r="E17" s="13">
        <f t="shared" si="0"/>
        <v>2647.5119999999997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12355.056</v>
      </c>
      <c r="F18" s="40"/>
    </row>
    <row r="19" spans="1:7" ht="25.5">
      <c r="A19" s="14" t="s">
        <v>86</v>
      </c>
      <c r="B19" s="11" t="s">
        <v>19</v>
      </c>
      <c r="C19" s="11" t="s">
        <v>8</v>
      </c>
      <c r="D19" s="84">
        <v>0.61</v>
      </c>
      <c r="E19" s="13">
        <f t="shared" si="0"/>
        <v>7690.3919999999998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 t="shared" si="0"/>
        <v>4412.5199999999986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0.48</v>
      </c>
      <c r="E21" s="13">
        <f t="shared" si="0"/>
        <v>6051.4559999999992</v>
      </c>
      <c r="F21" s="40"/>
      <c r="G21" s="117"/>
    </row>
    <row r="22" spans="1:7">
      <c r="A22" s="21" t="s">
        <v>372</v>
      </c>
      <c r="B22" s="22"/>
      <c r="C22" s="22" t="s">
        <v>203</v>
      </c>
      <c r="D22" s="22"/>
      <c r="E22" s="23">
        <v>2660</v>
      </c>
      <c r="F22" s="40"/>
    </row>
    <row r="23" spans="1:7">
      <c r="A23" s="21" t="s">
        <v>298</v>
      </c>
      <c r="B23" s="22"/>
      <c r="C23" s="22" t="s">
        <v>203</v>
      </c>
      <c r="D23" s="22"/>
      <c r="E23" s="23">
        <v>1082</v>
      </c>
      <c r="F23" s="40"/>
    </row>
    <row r="24" spans="1:7">
      <c r="A24" s="21" t="s">
        <v>374</v>
      </c>
      <c r="B24" s="22"/>
      <c r="C24" s="22" t="s">
        <v>203</v>
      </c>
      <c r="D24" s="22"/>
      <c r="E24" s="23">
        <v>1626</v>
      </c>
      <c r="F24" s="40"/>
    </row>
    <row r="25" spans="1:7" ht="19.5" thickBot="1">
      <c r="A25" s="16" t="s">
        <v>35</v>
      </c>
      <c r="B25" s="17"/>
      <c r="C25" s="17"/>
      <c r="D25" s="85"/>
      <c r="E25" s="116">
        <f>SUM(E12:E24)</f>
        <v>154132.96</v>
      </c>
      <c r="F25" s="41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21" t="s">
        <v>484</v>
      </c>
      <c r="B27" s="221"/>
      <c r="C27" s="221"/>
      <c r="D27" s="221"/>
      <c r="E27" s="221"/>
      <c r="F27" s="185"/>
    </row>
    <row r="28" spans="1:7">
      <c r="A28" s="5"/>
      <c r="B28" s="5"/>
      <c r="C28" s="5"/>
      <c r="D28" s="5"/>
      <c r="E28" s="6"/>
      <c r="F28" s="6"/>
    </row>
    <row r="29" spans="1:7" ht="33.75" customHeight="1">
      <c r="A29" s="221" t="s">
        <v>485</v>
      </c>
      <c r="B29" s="221"/>
      <c r="C29" s="221"/>
      <c r="D29" s="221"/>
      <c r="E29" s="221"/>
      <c r="F29" s="185"/>
    </row>
    <row r="30" spans="1:7">
      <c r="A30" s="5"/>
      <c r="B30" s="5"/>
      <c r="C30" s="5"/>
      <c r="D30" s="5"/>
      <c r="E30" s="6"/>
      <c r="F30" s="6"/>
    </row>
    <row r="31" spans="1:7" ht="30" customHeight="1">
      <c r="A31" s="221" t="s">
        <v>103</v>
      </c>
      <c r="B31" s="221"/>
      <c r="C31" s="221"/>
      <c r="D31" s="221"/>
      <c r="E31" s="221"/>
      <c r="F31" s="186"/>
    </row>
    <row r="32" spans="1:7">
      <c r="A32" s="185"/>
      <c r="B32" s="185"/>
      <c r="C32" s="185"/>
      <c r="D32" s="185"/>
      <c r="E32" s="185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8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8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71" spans="1:1">
      <c r="A71" t="s">
        <v>111</v>
      </c>
    </row>
  </sheetData>
  <mergeCells count="13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  <mergeCell ref="E5:F5"/>
  </mergeCells>
  <pageMargins left="0.24" right="0.21" top="0.4" bottom="0.32" header="0.3" footer="0.2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71"/>
  <sheetViews>
    <sheetView topLeftCell="A9" workbookViewId="0">
      <selection activeCell="K28" sqref="K28:L3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82"/>
    </row>
    <row r="2" spans="1:8" ht="36" customHeight="1">
      <c r="A2" s="225" t="s">
        <v>1</v>
      </c>
      <c r="B2" s="225"/>
      <c r="C2" s="225"/>
      <c r="D2" s="225"/>
      <c r="E2" s="225"/>
      <c r="F2" s="183"/>
    </row>
    <row r="3" spans="1:8">
      <c r="A3" s="1"/>
      <c r="B3" s="1"/>
      <c r="C3" s="1"/>
      <c r="D3" s="1"/>
      <c r="E3" s="2"/>
      <c r="F3" s="2"/>
    </row>
    <row r="4" spans="1:8" ht="15" customHeight="1">
      <c r="A4" s="185" t="s">
        <v>2</v>
      </c>
      <c r="B4" s="1"/>
      <c r="C4" s="1"/>
      <c r="D4" s="226" t="s">
        <v>209</v>
      </c>
      <c r="E4" s="226"/>
      <c r="F4" s="18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200</v>
      </c>
      <c r="B7" s="221"/>
      <c r="C7" s="221"/>
      <c r="D7" s="221"/>
      <c r="E7" s="221"/>
      <c r="F7" s="185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201</v>
      </c>
      <c r="B9" s="221"/>
      <c r="C9" s="221"/>
      <c r="D9" s="221"/>
      <c r="E9" s="221"/>
      <c r="F9" s="185"/>
    </row>
    <row r="10" spans="1:8" ht="15.75" thickBot="1">
      <c r="A10" s="5"/>
      <c r="B10" s="5"/>
      <c r="C10" s="5"/>
      <c r="D10" s="5"/>
      <c r="E10" s="6"/>
      <c r="F10" s="6"/>
      <c r="H10">
        <v>1102.5999999999999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3">
        <f t="shared" ref="E12:E21" si="0">D12*$H$10*12</f>
        <v>5292.48</v>
      </c>
      <c r="F12" s="39"/>
    </row>
    <row r="13" spans="1:8" ht="60">
      <c r="A13" s="180" t="s">
        <v>138</v>
      </c>
      <c r="B13" s="213" t="s">
        <v>137</v>
      </c>
      <c r="C13" s="11" t="s">
        <v>8</v>
      </c>
      <c r="D13" s="15">
        <v>0.93</v>
      </c>
      <c r="E13" s="13">
        <f t="shared" si="0"/>
        <v>12305.016</v>
      </c>
      <c r="F13" s="39"/>
    </row>
    <row r="14" spans="1:8" ht="51">
      <c r="A14" s="14" t="s">
        <v>37</v>
      </c>
      <c r="B14" s="11" t="s">
        <v>17</v>
      </c>
      <c r="C14" s="11" t="s">
        <v>8</v>
      </c>
      <c r="D14" s="12">
        <v>1.04</v>
      </c>
      <c r="E14" s="13">
        <f t="shared" si="0"/>
        <v>13760.448</v>
      </c>
      <c r="F14" s="40"/>
    </row>
    <row r="15" spans="1:8" ht="42" customHeight="1">
      <c r="A15" s="14" t="s">
        <v>15</v>
      </c>
      <c r="B15" s="11" t="s">
        <v>115</v>
      </c>
      <c r="C15" s="11" t="s">
        <v>8</v>
      </c>
      <c r="D15" s="11">
        <v>3.07</v>
      </c>
      <c r="E15" s="13">
        <f t="shared" si="0"/>
        <v>40619.783999999992</v>
      </c>
      <c r="F15" s="40"/>
    </row>
    <row r="16" spans="1:8">
      <c r="A16" s="14" t="s">
        <v>32</v>
      </c>
      <c r="B16" s="11" t="s">
        <v>115</v>
      </c>
      <c r="C16" s="11" t="s">
        <v>8</v>
      </c>
      <c r="D16" s="12">
        <v>3.18</v>
      </c>
      <c r="E16" s="13">
        <f t="shared" si="0"/>
        <v>42075.216</v>
      </c>
      <c r="F16" s="40"/>
    </row>
    <row r="17" spans="1:6">
      <c r="A17" s="14" t="s">
        <v>36</v>
      </c>
      <c r="B17" s="11" t="s">
        <v>115</v>
      </c>
      <c r="C17" s="11" t="s">
        <v>8</v>
      </c>
      <c r="D17" s="12">
        <v>0.19</v>
      </c>
      <c r="E17" s="13">
        <f t="shared" si="0"/>
        <v>2513.9279999999999</v>
      </c>
      <c r="F17" s="40"/>
    </row>
    <row r="18" spans="1:6" ht="25.5">
      <c r="A18" s="14" t="s">
        <v>18</v>
      </c>
      <c r="B18" s="11" t="s">
        <v>19</v>
      </c>
      <c r="C18" s="11" t="s">
        <v>8</v>
      </c>
      <c r="D18" s="12">
        <v>0.98</v>
      </c>
      <c r="E18" s="13">
        <f t="shared" si="0"/>
        <v>12966.576000000001</v>
      </c>
      <c r="F18" s="40"/>
    </row>
    <row r="19" spans="1:6" ht="25.5">
      <c r="A19" s="14" t="s">
        <v>86</v>
      </c>
      <c r="B19" s="11" t="s">
        <v>19</v>
      </c>
      <c r="C19" s="11" t="s">
        <v>8</v>
      </c>
      <c r="D19" s="84">
        <v>0.61</v>
      </c>
      <c r="E19" s="13">
        <f t="shared" si="0"/>
        <v>8071.0319999999992</v>
      </c>
      <c r="F19" s="40"/>
    </row>
    <row r="20" spans="1:6" ht="25.5">
      <c r="A20" s="14" t="s">
        <v>21</v>
      </c>
      <c r="B20" s="11" t="s">
        <v>19</v>
      </c>
      <c r="C20" s="11" t="s">
        <v>8</v>
      </c>
      <c r="D20" s="11">
        <v>0.35</v>
      </c>
      <c r="E20" s="13">
        <f t="shared" si="0"/>
        <v>4630.92</v>
      </c>
      <c r="F20" s="40"/>
    </row>
    <row r="21" spans="1:6" ht="25.5">
      <c r="A21" s="14" t="s">
        <v>22</v>
      </c>
      <c r="B21" s="11" t="s">
        <v>17</v>
      </c>
      <c r="C21" s="11" t="s">
        <v>8</v>
      </c>
      <c r="D21" s="11">
        <v>1.21</v>
      </c>
      <c r="E21" s="13">
        <f t="shared" si="0"/>
        <v>16009.752</v>
      </c>
      <c r="F21" s="40"/>
    </row>
    <row r="22" spans="1:6">
      <c r="A22" s="14" t="s">
        <v>375</v>
      </c>
      <c r="B22" s="22"/>
      <c r="C22" s="22" t="s">
        <v>203</v>
      </c>
      <c r="D22" s="22"/>
      <c r="E22" s="13">
        <v>369</v>
      </c>
      <c r="F22" s="40"/>
    </row>
    <row r="23" spans="1:6">
      <c r="A23" s="21" t="s">
        <v>414</v>
      </c>
      <c r="B23" s="22"/>
      <c r="C23" s="22" t="s">
        <v>203</v>
      </c>
      <c r="D23" s="22"/>
      <c r="E23" s="23">
        <v>55365</v>
      </c>
      <c r="F23" s="40"/>
    </row>
    <row r="24" spans="1:6">
      <c r="A24" s="21" t="s">
        <v>404</v>
      </c>
      <c r="B24" s="22"/>
      <c r="C24" s="22" t="s">
        <v>203</v>
      </c>
      <c r="D24" s="22"/>
      <c r="E24" s="23">
        <v>4649</v>
      </c>
      <c r="F24" s="40"/>
    </row>
    <row r="25" spans="1:6" ht="19.5" thickBot="1">
      <c r="A25" s="16" t="s">
        <v>35</v>
      </c>
      <c r="B25" s="17"/>
      <c r="C25" s="17"/>
      <c r="D25" s="85"/>
      <c r="E25" s="116">
        <f>SUM(E12:E24)</f>
        <v>218628.152</v>
      </c>
      <c r="F25" s="41"/>
    </row>
    <row r="26" spans="1:6">
      <c r="A26" s="5"/>
      <c r="B26" s="5"/>
      <c r="C26" s="5"/>
      <c r="D26" s="5"/>
      <c r="E26" s="6"/>
      <c r="F26" s="6"/>
    </row>
    <row r="27" spans="1:6" ht="36.75" customHeight="1">
      <c r="A27" s="221" t="s">
        <v>539</v>
      </c>
      <c r="B27" s="221"/>
      <c r="C27" s="221"/>
      <c r="D27" s="221"/>
      <c r="E27" s="221"/>
      <c r="F27" s="185"/>
    </row>
    <row r="28" spans="1:6">
      <c r="A28" s="5"/>
      <c r="B28" s="5"/>
      <c r="C28" s="5"/>
      <c r="D28" s="5"/>
      <c r="E28" s="6"/>
      <c r="F28" s="6"/>
    </row>
    <row r="29" spans="1:6" ht="33" customHeight="1">
      <c r="A29" s="221" t="s">
        <v>486</v>
      </c>
      <c r="B29" s="221"/>
      <c r="C29" s="221"/>
      <c r="D29" s="221"/>
      <c r="E29" s="221"/>
      <c r="F29" s="185"/>
    </row>
    <row r="30" spans="1:6">
      <c r="A30" s="5"/>
      <c r="B30" s="5"/>
      <c r="C30" s="5"/>
      <c r="D30" s="5"/>
      <c r="E30" s="6"/>
      <c r="F30" s="6"/>
    </row>
    <row r="31" spans="1:6" ht="30" customHeight="1">
      <c r="A31" s="221" t="s">
        <v>103</v>
      </c>
      <c r="B31" s="221"/>
      <c r="C31" s="221"/>
      <c r="D31" s="221"/>
      <c r="E31" s="221"/>
      <c r="F31" s="186"/>
    </row>
    <row r="32" spans="1:6">
      <c r="A32" s="185"/>
      <c r="B32" s="185"/>
      <c r="C32" s="185"/>
      <c r="D32" s="185"/>
      <c r="E32" s="185"/>
      <c r="F32" s="6"/>
    </row>
    <row r="33" spans="1:6" ht="28.5" customHeight="1">
      <c r="A33" s="221" t="s">
        <v>24</v>
      </c>
      <c r="B33" s="221"/>
      <c r="C33" s="221"/>
      <c r="D33" s="221"/>
      <c r="E33" s="221"/>
      <c r="F33" s="18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23" t="s">
        <v>25</v>
      </c>
      <c r="B36" s="223"/>
      <c r="C36" s="223"/>
      <c r="D36" s="223"/>
      <c r="E36" s="223"/>
      <c r="F36" s="187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220" t="s">
        <v>29</v>
      </c>
      <c r="C39" s="220"/>
      <c r="D39" s="220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220" t="s">
        <v>29</v>
      </c>
      <c r="C43" s="220"/>
      <c r="D43" s="220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71" spans="1:1">
      <c r="A71" t="s">
        <v>111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76"/>
  <sheetViews>
    <sheetView topLeftCell="A16" workbookViewId="0">
      <selection activeCell="L34" sqref="L34:L3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10"/>
    </row>
    <row r="2" spans="1:8" ht="36" customHeight="1">
      <c r="A2" s="225" t="s">
        <v>1</v>
      </c>
      <c r="B2" s="225"/>
      <c r="C2" s="225"/>
      <c r="D2" s="225"/>
      <c r="E2" s="225"/>
      <c r="F2" s="211"/>
    </row>
    <row r="3" spans="1:8">
      <c r="A3" s="1"/>
      <c r="B3" s="1"/>
      <c r="C3" s="1"/>
      <c r="D3" s="1"/>
      <c r="E3" s="2"/>
      <c r="F3" s="2"/>
    </row>
    <row r="4" spans="1:8" ht="15" customHeight="1">
      <c r="A4" s="207" t="s">
        <v>2</v>
      </c>
      <c r="B4" s="1"/>
      <c r="C4" s="1"/>
      <c r="D4" s="226" t="s">
        <v>209</v>
      </c>
      <c r="E4" s="226"/>
      <c r="F4" s="2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376</v>
      </c>
      <c r="B7" s="221"/>
      <c r="C7" s="221"/>
      <c r="D7" s="221"/>
      <c r="E7" s="221"/>
      <c r="F7" s="20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377</v>
      </c>
      <c r="B9" s="221"/>
      <c r="C9" s="221"/>
      <c r="D9" s="221"/>
      <c r="E9" s="221"/>
      <c r="F9" s="207"/>
    </row>
    <row r="10" spans="1:8" ht="15.75" thickBot="1">
      <c r="A10" s="5"/>
      <c r="B10" s="5"/>
      <c r="C10" s="5"/>
      <c r="D10" s="5"/>
      <c r="E10" s="6"/>
      <c r="F10" s="6"/>
      <c r="H10">
        <v>1102.5999999999999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 t="s">
        <v>202</v>
      </c>
      <c r="E12" s="13">
        <f>0.8*2*H10+0.4*10*H10</f>
        <v>6174.5599999999995</v>
      </c>
      <c r="F12" s="39"/>
    </row>
    <row r="13" spans="1:8" ht="48">
      <c r="A13" s="180" t="s">
        <v>208</v>
      </c>
      <c r="B13" s="213" t="s">
        <v>137</v>
      </c>
      <c r="C13" s="11" t="s">
        <v>8</v>
      </c>
      <c r="D13" s="15" t="s">
        <v>197</v>
      </c>
      <c r="E13" s="13">
        <f>0.93*2*H10+0.52*10*H10</f>
        <v>7784.3559999999998</v>
      </c>
      <c r="F13" s="39"/>
    </row>
    <row r="14" spans="1:8" ht="38.25">
      <c r="A14" s="14" t="s">
        <v>191</v>
      </c>
      <c r="B14" s="11" t="s">
        <v>17</v>
      </c>
      <c r="C14" s="11" t="s">
        <v>8</v>
      </c>
      <c r="D14" s="12">
        <v>1.04</v>
      </c>
      <c r="E14" s="13">
        <f t="shared" ref="E14" si="0">D14*$H$10*12</f>
        <v>13760.448</v>
      </c>
      <c r="F14" s="40"/>
    </row>
    <row r="15" spans="1:8" ht="25.5">
      <c r="A15" s="14" t="s">
        <v>15</v>
      </c>
      <c r="B15" s="11" t="s">
        <v>115</v>
      </c>
      <c r="C15" s="11" t="s">
        <v>8</v>
      </c>
      <c r="D15" s="11" t="s">
        <v>379</v>
      </c>
      <c r="E15" s="13">
        <f>4.77*2*H10+4.41*10*H10</f>
        <v>59143.463999999993</v>
      </c>
      <c r="F15" s="40"/>
    </row>
    <row r="16" spans="1:8">
      <c r="A16" s="14" t="s">
        <v>32</v>
      </c>
      <c r="B16" s="11" t="s">
        <v>115</v>
      </c>
      <c r="C16" s="11" t="s">
        <v>8</v>
      </c>
      <c r="D16" s="12" t="s">
        <v>225</v>
      </c>
      <c r="E16" s="13">
        <f>2.22*2*H10+3.48*10*H10</f>
        <v>43266.023999999998</v>
      </c>
      <c r="F16" s="40"/>
    </row>
    <row r="17" spans="1:7">
      <c r="A17" s="14" t="s">
        <v>36</v>
      </c>
      <c r="B17" s="11" t="s">
        <v>115</v>
      </c>
      <c r="C17" s="11" t="s">
        <v>8</v>
      </c>
      <c r="D17" s="12">
        <v>0.18</v>
      </c>
      <c r="E17" s="13">
        <f>1015.36+2855.76</f>
        <v>3871.1200000000003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 t="s">
        <v>189</v>
      </c>
      <c r="E18" s="13">
        <f>0.74*2*H10+0.89*10*H10</f>
        <v>11444.987999999999</v>
      </c>
      <c r="F18" s="40"/>
    </row>
    <row r="19" spans="1:7" ht="25.5">
      <c r="A19" s="14" t="s">
        <v>86</v>
      </c>
      <c r="B19" s="11" t="s">
        <v>19</v>
      </c>
      <c r="C19" s="11" t="s">
        <v>8</v>
      </c>
      <c r="D19" s="84" t="s">
        <v>226</v>
      </c>
      <c r="E19" s="13">
        <f>0.41*2*H10+0.5*10*H10</f>
        <v>6417.1319999999996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 t="s">
        <v>247</v>
      </c>
      <c r="E20" s="13">
        <f>0.3*2*H10+0.35*10*H10</f>
        <v>4520.66</v>
      </c>
      <c r="F20" s="40"/>
    </row>
    <row r="21" spans="1:7">
      <c r="A21" s="14" t="s">
        <v>378</v>
      </c>
      <c r="B21" s="11" t="s">
        <v>115</v>
      </c>
      <c r="C21" s="11" t="s">
        <v>8</v>
      </c>
      <c r="D21" s="11">
        <v>1.39</v>
      </c>
      <c r="E21" s="13">
        <f>D21*10*H10</f>
        <v>15326.139999999998</v>
      </c>
      <c r="F21" s="40"/>
    </row>
    <row r="22" spans="1:7" ht="25.5">
      <c r="A22" s="14" t="s">
        <v>22</v>
      </c>
      <c r="B22" s="11" t="s">
        <v>17</v>
      </c>
      <c r="C22" s="11" t="s">
        <v>8</v>
      </c>
      <c r="D22" s="11" t="s">
        <v>380</v>
      </c>
      <c r="E22" s="13">
        <f>1.79*2*H10+1.21*10*H10</f>
        <v>17288.768</v>
      </c>
      <c r="F22" s="40"/>
    </row>
    <row r="23" spans="1:7">
      <c r="A23" s="14" t="s">
        <v>232</v>
      </c>
      <c r="B23" s="22"/>
      <c r="C23" s="22" t="s">
        <v>203</v>
      </c>
      <c r="D23" s="22"/>
      <c r="E23" s="13">
        <f>2472+2545+1805+1455</f>
        <v>8277</v>
      </c>
      <c r="F23" s="40"/>
    </row>
    <row r="24" spans="1:7">
      <c r="A24" s="14" t="s">
        <v>381</v>
      </c>
      <c r="B24" s="22"/>
      <c r="C24" s="22" t="s">
        <v>203</v>
      </c>
      <c r="D24" s="22"/>
      <c r="E24" s="13">
        <v>585</v>
      </c>
      <c r="F24" s="40"/>
    </row>
    <row r="25" spans="1:7" ht="25.5">
      <c r="A25" s="14" t="s">
        <v>382</v>
      </c>
      <c r="B25" s="22"/>
      <c r="C25" s="22" t="s">
        <v>203</v>
      </c>
      <c r="D25" s="22"/>
      <c r="E25" s="13">
        <v>4518</v>
      </c>
      <c r="F25" s="40"/>
    </row>
    <row r="26" spans="1:7">
      <c r="A26" s="14" t="s">
        <v>292</v>
      </c>
      <c r="B26" s="22"/>
      <c r="C26" s="22" t="s">
        <v>203</v>
      </c>
      <c r="D26" s="22"/>
      <c r="E26" s="13">
        <v>1647</v>
      </c>
      <c r="F26" s="40"/>
    </row>
    <row r="27" spans="1:7">
      <c r="A27" s="14" t="s">
        <v>374</v>
      </c>
      <c r="B27" s="22"/>
      <c r="C27" s="22" t="s">
        <v>203</v>
      </c>
      <c r="D27" s="22"/>
      <c r="E27" s="13">
        <v>823</v>
      </c>
      <c r="F27" s="40"/>
    </row>
    <row r="28" spans="1:7" ht="25.5">
      <c r="A28" s="21" t="s">
        <v>415</v>
      </c>
      <c r="B28" s="22"/>
      <c r="C28" s="22" t="s">
        <v>203</v>
      </c>
      <c r="D28" s="22"/>
      <c r="E28" s="23">
        <v>17447</v>
      </c>
      <c r="F28" s="40"/>
    </row>
    <row r="29" spans="1:7">
      <c r="A29" s="21" t="s">
        <v>416</v>
      </c>
      <c r="B29" s="22"/>
      <c r="C29" s="22" t="s">
        <v>203</v>
      </c>
      <c r="D29" s="22"/>
      <c r="E29" s="23">
        <v>12154</v>
      </c>
      <c r="F29" s="40"/>
    </row>
    <row r="30" spans="1:7" ht="19.5" thickBot="1">
      <c r="A30" s="16" t="s">
        <v>35</v>
      </c>
      <c r="B30" s="17"/>
      <c r="C30" s="17"/>
      <c r="D30" s="85"/>
      <c r="E30" s="116">
        <f>SUM(E12:E29)</f>
        <v>234448.66</v>
      </c>
      <c r="F30" s="41"/>
    </row>
    <row r="31" spans="1:7">
      <c r="A31" s="5"/>
      <c r="B31" s="5"/>
      <c r="C31" s="5"/>
      <c r="D31" s="5"/>
      <c r="E31" s="6"/>
      <c r="F31" s="6"/>
    </row>
    <row r="32" spans="1:7" ht="33.75" customHeight="1">
      <c r="A32" s="221" t="s">
        <v>488</v>
      </c>
      <c r="B32" s="221"/>
      <c r="C32" s="221"/>
      <c r="D32" s="221"/>
      <c r="E32" s="221"/>
      <c r="F32" s="207"/>
    </row>
    <row r="33" spans="1:11">
      <c r="A33" s="5"/>
      <c r="B33" s="5"/>
      <c r="C33" s="5"/>
      <c r="D33" s="5"/>
      <c r="E33" s="6"/>
      <c r="F33" s="6"/>
    </row>
    <row r="34" spans="1:11" ht="49.5" customHeight="1">
      <c r="A34" s="221" t="s">
        <v>487</v>
      </c>
      <c r="B34" s="221"/>
      <c r="C34" s="221"/>
      <c r="D34" s="221"/>
      <c r="E34" s="221"/>
      <c r="F34" s="207"/>
    </row>
    <row r="35" spans="1:11">
      <c r="A35" s="5"/>
      <c r="B35" s="5"/>
      <c r="C35" s="5"/>
      <c r="D35" s="5"/>
      <c r="E35" s="6"/>
      <c r="F35" s="6"/>
    </row>
    <row r="36" spans="1:11" ht="30" customHeight="1">
      <c r="A36" s="221" t="s">
        <v>103</v>
      </c>
      <c r="B36" s="221"/>
      <c r="C36" s="221"/>
      <c r="D36" s="221"/>
      <c r="E36" s="221"/>
      <c r="F36" s="208"/>
    </row>
    <row r="37" spans="1:11">
      <c r="A37" s="207"/>
      <c r="B37" s="207"/>
      <c r="C37" s="207"/>
      <c r="D37" s="207"/>
      <c r="E37" s="207"/>
      <c r="F37" s="6"/>
    </row>
    <row r="38" spans="1:11" ht="28.5" customHeight="1">
      <c r="A38" s="221" t="s">
        <v>24</v>
      </c>
      <c r="B38" s="221"/>
      <c r="C38" s="221"/>
      <c r="D38" s="221"/>
      <c r="E38" s="221"/>
      <c r="F38" s="207"/>
      <c r="K38">
        <f>51733.99</f>
        <v>51733.99</v>
      </c>
    </row>
    <row r="39" spans="1:11">
      <c r="A39" s="5"/>
      <c r="B39" s="5"/>
      <c r="C39" s="5"/>
      <c r="D39" s="5"/>
      <c r="E39" s="6"/>
      <c r="F39" s="6"/>
    </row>
    <row r="40" spans="1:11">
      <c r="A40" s="5"/>
      <c r="B40" s="5"/>
      <c r="C40" s="5"/>
      <c r="D40" s="5"/>
      <c r="E40" s="6"/>
      <c r="F40" s="6"/>
    </row>
    <row r="41" spans="1:11">
      <c r="A41" s="223" t="s">
        <v>25</v>
      </c>
      <c r="B41" s="223"/>
      <c r="C41" s="223"/>
      <c r="D41" s="223"/>
      <c r="E41" s="223"/>
      <c r="F41" s="209"/>
    </row>
    <row r="42" spans="1:11">
      <c r="A42" s="5"/>
      <c r="B42" s="5"/>
      <c r="C42" s="5"/>
      <c r="D42" s="5"/>
      <c r="E42" s="6"/>
      <c r="F42" s="6"/>
    </row>
    <row r="43" spans="1:11">
      <c r="A43" s="5" t="s">
        <v>26</v>
      </c>
      <c r="B43" s="5" t="s">
        <v>27</v>
      </c>
      <c r="C43" s="5"/>
      <c r="D43" s="5"/>
      <c r="E43" s="6" t="s">
        <v>28</v>
      </c>
      <c r="F43" s="6"/>
    </row>
    <row r="44" spans="1:11">
      <c r="A44" s="5"/>
      <c r="B44" s="220" t="s">
        <v>29</v>
      </c>
      <c r="C44" s="220"/>
      <c r="D44" s="220"/>
      <c r="E44" s="6" t="s">
        <v>30</v>
      </c>
      <c r="F44" s="6"/>
    </row>
    <row r="45" spans="1:11">
      <c r="A45" s="5"/>
      <c r="B45" s="5"/>
      <c r="C45" s="5"/>
      <c r="D45" s="5"/>
      <c r="E45" s="6"/>
      <c r="F45" s="6"/>
    </row>
    <row r="46" spans="1:11">
      <c r="A46" s="5"/>
      <c r="B46" s="5"/>
      <c r="C46" s="5"/>
      <c r="D46" s="5"/>
      <c r="E46" s="6"/>
      <c r="F46" s="6"/>
    </row>
    <row r="47" spans="1:11">
      <c r="A47" s="5" t="s">
        <v>31</v>
      </c>
      <c r="B47" s="5" t="s">
        <v>27</v>
      </c>
      <c r="C47" s="5"/>
      <c r="D47" s="5"/>
      <c r="E47" s="6" t="s">
        <v>28</v>
      </c>
      <c r="F47" s="6"/>
    </row>
    <row r="48" spans="1:11">
      <c r="A48" s="5"/>
      <c r="B48" s="220" t="s">
        <v>29</v>
      </c>
      <c r="C48" s="220"/>
      <c r="D48" s="220"/>
      <c r="E48" s="6" t="s">
        <v>30</v>
      </c>
      <c r="F48" s="6"/>
    </row>
    <row r="49" spans="1:6">
      <c r="A49" s="5"/>
      <c r="B49" s="5"/>
      <c r="C49" s="5"/>
      <c r="D49" s="5"/>
      <c r="E49" s="6"/>
      <c r="F49" s="6"/>
    </row>
    <row r="76" spans="1:1">
      <c r="A76" t="s">
        <v>111</v>
      </c>
    </row>
  </sheetData>
  <mergeCells count="12">
    <mergeCell ref="B48:D48"/>
    <mergeCell ref="A1:E1"/>
    <mergeCell ref="A2:E2"/>
    <mergeCell ref="D4:E4"/>
    <mergeCell ref="A7:E7"/>
    <mergeCell ref="A9:E9"/>
    <mergeCell ref="A32:E32"/>
    <mergeCell ref="A34:E34"/>
    <mergeCell ref="A36:E36"/>
    <mergeCell ref="A38:E38"/>
    <mergeCell ref="A41:E41"/>
    <mergeCell ref="B44:D44"/>
  </mergeCells>
  <pageMargins left="0.24" right="0.21" top="0.4" bottom="0.32" header="0.3" footer="0.2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69"/>
  <sheetViews>
    <sheetView topLeftCell="A11" workbookViewId="0">
      <selection activeCell="F16" sqref="F16:G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04"/>
    </row>
    <row r="2" spans="1:8" ht="36" customHeight="1">
      <c r="A2" s="225" t="s">
        <v>1</v>
      </c>
      <c r="B2" s="225"/>
      <c r="C2" s="225"/>
      <c r="D2" s="225"/>
      <c r="E2" s="225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26" t="s">
        <v>209</v>
      </c>
      <c r="E4" s="226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184</v>
      </c>
      <c r="B7" s="221"/>
      <c r="C7" s="221"/>
      <c r="D7" s="221"/>
      <c r="E7" s="221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96</v>
      </c>
      <c r="B9" s="221"/>
      <c r="C9" s="221"/>
      <c r="D9" s="221"/>
      <c r="E9" s="221"/>
      <c r="F9" s="107"/>
    </row>
    <row r="10" spans="1:8" ht="15.75" thickBot="1">
      <c r="A10" s="5"/>
      <c r="B10" s="5"/>
      <c r="C10" s="5"/>
      <c r="D10" s="5"/>
      <c r="E10" s="6"/>
      <c r="F10" s="6"/>
      <c r="H10">
        <v>430.3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3">
        <f>D12*3*H10</f>
        <v>516.36000000000013</v>
      </c>
      <c r="F12" s="39"/>
    </row>
    <row r="13" spans="1:8" ht="48">
      <c r="A13" s="180" t="s">
        <v>208</v>
      </c>
      <c r="B13" s="213" t="s">
        <v>137</v>
      </c>
      <c r="C13" s="11" t="s">
        <v>8</v>
      </c>
      <c r="D13" s="15">
        <v>0.52</v>
      </c>
      <c r="E13" s="13">
        <f>D13*3*H10</f>
        <v>671.26800000000003</v>
      </c>
      <c r="F13" s="39"/>
    </row>
    <row r="14" spans="1:8" ht="51">
      <c r="A14" s="14" t="s">
        <v>10</v>
      </c>
      <c r="B14" s="11" t="s">
        <v>115</v>
      </c>
      <c r="C14" s="11" t="s">
        <v>12</v>
      </c>
      <c r="D14" s="12">
        <v>1.39</v>
      </c>
      <c r="E14" s="13">
        <f>1.39*12*H10</f>
        <v>7177.4040000000005</v>
      </c>
      <c r="F14" s="40"/>
    </row>
    <row r="15" spans="1:8" ht="51">
      <c r="A15" s="14" t="s">
        <v>37</v>
      </c>
      <c r="B15" s="11" t="s">
        <v>17</v>
      </c>
      <c r="C15" s="11" t="s">
        <v>8</v>
      </c>
      <c r="D15" s="12" t="s">
        <v>166</v>
      </c>
      <c r="E15" s="13">
        <f>1.04*$H$10*9+0.6*3*H10</f>
        <v>4802.1480000000001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>
        <v>0.24</v>
      </c>
      <c r="E16" s="13">
        <v>1240.18</v>
      </c>
      <c r="F16" s="40"/>
      <c r="G16" s="117"/>
    </row>
    <row r="17" spans="1:7" ht="25.5">
      <c r="A17" s="14" t="s">
        <v>15</v>
      </c>
      <c r="B17" s="11" t="s">
        <v>115</v>
      </c>
      <c r="C17" s="11" t="s">
        <v>8</v>
      </c>
      <c r="D17" s="11" t="s">
        <v>383</v>
      </c>
      <c r="E17" s="13">
        <f>5.75*$H$10*9+6.31*3*H10</f>
        <v>30413.603999999999</v>
      </c>
      <c r="F17" s="40"/>
    </row>
    <row r="18" spans="1:7" ht="25.5">
      <c r="A18" s="14" t="s">
        <v>32</v>
      </c>
      <c r="B18" s="11" t="s">
        <v>19</v>
      </c>
      <c r="C18" s="11" t="s">
        <v>8</v>
      </c>
      <c r="D18" s="12" t="s">
        <v>214</v>
      </c>
      <c r="E18" s="13">
        <f>2.48*$H$10*9+3.18*3*H10</f>
        <v>13709.358</v>
      </c>
      <c r="F18" s="40"/>
    </row>
    <row r="19" spans="1:7" ht="25.5">
      <c r="A19" s="14" t="s">
        <v>36</v>
      </c>
      <c r="B19" s="11" t="s">
        <v>19</v>
      </c>
      <c r="C19" s="11" t="s">
        <v>8</v>
      </c>
      <c r="D19" s="12">
        <v>0.36</v>
      </c>
      <c r="E19" s="13">
        <f>D19*$H$10*9</f>
        <v>1394.1719999999998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0.98</v>
      </c>
      <c r="E20" s="13">
        <f>0.98*12*H10</f>
        <v>5060.3280000000004</v>
      </c>
      <c r="F20" s="40"/>
    </row>
    <row r="21" spans="1:7" ht="25.5">
      <c r="A21" s="14" t="s">
        <v>21</v>
      </c>
      <c r="B21" s="11" t="s">
        <v>115</v>
      </c>
      <c r="C21" s="11" t="s">
        <v>8</v>
      </c>
      <c r="D21" s="11">
        <v>0.35</v>
      </c>
      <c r="E21" s="13">
        <f>0.32*12*H10</f>
        <v>1652.3520000000001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1.61*12*H10</f>
        <v>8313.3960000000006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74950.570000000007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2.25" customHeight="1">
      <c r="A25" s="221" t="s">
        <v>540</v>
      </c>
      <c r="B25" s="221"/>
      <c r="C25" s="221"/>
      <c r="D25" s="221"/>
      <c r="E25" s="221"/>
      <c r="F25" s="107"/>
    </row>
    <row r="26" spans="1:7">
      <c r="A26" s="5"/>
      <c r="B26" s="5"/>
      <c r="C26" s="5"/>
      <c r="D26" s="5"/>
      <c r="E26" s="6"/>
      <c r="F26" s="6"/>
    </row>
    <row r="27" spans="1:7" ht="34.5" customHeight="1">
      <c r="A27" s="221" t="s">
        <v>489</v>
      </c>
      <c r="B27" s="221"/>
      <c r="C27" s="221"/>
      <c r="D27" s="221"/>
      <c r="E27" s="221"/>
      <c r="F27" s="107"/>
    </row>
    <row r="28" spans="1:7">
      <c r="A28" s="5"/>
      <c r="B28" s="5"/>
      <c r="C28" s="5"/>
      <c r="D28" s="5"/>
      <c r="E28" s="6"/>
      <c r="F28" s="6"/>
    </row>
    <row r="29" spans="1:7" ht="30" customHeight="1">
      <c r="A29" s="221" t="s">
        <v>103</v>
      </c>
      <c r="B29" s="221"/>
      <c r="C29" s="221"/>
      <c r="D29" s="221"/>
      <c r="E29" s="221"/>
      <c r="F29" s="108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221" t="s">
        <v>24</v>
      </c>
      <c r="B31" s="221"/>
      <c r="C31" s="221"/>
      <c r="D31" s="221"/>
      <c r="E31" s="221"/>
      <c r="F31" s="107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23" t="s">
        <v>25</v>
      </c>
      <c r="B34" s="223"/>
      <c r="C34" s="223"/>
      <c r="D34" s="223"/>
      <c r="E34" s="223"/>
      <c r="F34" s="109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220" t="s">
        <v>29</v>
      </c>
      <c r="C37" s="220"/>
      <c r="D37" s="220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9" spans="1:1">
      <c r="A69" t="s">
        <v>111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73"/>
  <sheetViews>
    <sheetView topLeftCell="A9" workbookViewId="0">
      <selection activeCell="G26" sqref="G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04"/>
    </row>
    <row r="2" spans="1:8" ht="36" customHeight="1">
      <c r="A2" s="225" t="s">
        <v>1</v>
      </c>
      <c r="B2" s="225"/>
      <c r="C2" s="225"/>
      <c r="D2" s="225"/>
      <c r="E2" s="225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26" t="s">
        <v>209</v>
      </c>
      <c r="E4" s="226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185</v>
      </c>
      <c r="B7" s="221"/>
      <c r="C7" s="221"/>
      <c r="D7" s="221"/>
      <c r="E7" s="221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97</v>
      </c>
      <c r="B9" s="221"/>
      <c r="C9" s="221"/>
      <c r="D9" s="221"/>
      <c r="E9" s="221"/>
      <c r="F9" s="107"/>
    </row>
    <row r="10" spans="1:8" ht="15.75" thickBot="1">
      <c r="A10" s="5"/>
      <c r="B10" s="5"/>
      <c r="C10" s="5"/>
      <c r="D10" s="5"/>
      <c r="E10" s="6"/>
      <c r="F10" s="6"/>
      <c r="H10">
        <v>280.10000000000002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3">
        <f>D12*5*H10</f>
        <v>560.20000000000005</v>
      </c>
      <c r="F12" s="39"/>
    </row>
    <row r="13" spans="1:8" ht="48">
      <c r="A13" s="180" t="s">
        <v>208</v>
      </c>
      <c r="B13" s="213" t="s">
        <v>137</v>
      </c>
      <c r="C13" s="11" t="s">
        <v>8</v>
      </c>
      <c r="D13" s="15">
        <v>0.52</v>
      </c>
      <c r="E13" s="13">
        <f>D13*5*H10</f>
        <v>728.2600000000001</v>
      </c>
      <c r="F13" s="39"/>
    </row>
    <row r="14" spans="1:8" ht="38.25">
      <c r="A14" s="14" t="s">
        <v>190</v>
      </c>
      <c r="B14" s="11" t="s">
        <v>115</v>
      </c>
      <c r="C14" s="11" t="s">
        <v>12</v>
      </c>
      <c r="D14" s="12" t="s">
        <v>386</v>
      </c>
      <c r="E14" s="13">
        <f>0.48*$H$10*7+1.43*5*H10</f>
        <v>2943.8510000000001</v>
      </c>
      <c r="F14" s="40"/>
    </row>
    <row r="15" spans="1:8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0.55*$H$10*7+0.6*5*H10</f>
        <v>1918.6850000000004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387</v>
      </c>
      <c r="E16" s="13">
        <f>0.47*$H$10*7+0.3*5*H10</f>
        <v>1341.6790000000001</v>
      </c>
      <c r="F16" s="40"/>
    </row>
    <row r="17" spans="1:7" ht="25.5">
      <c r="A17" s="14" t="s">
        <v>15</v>
      </c>
      <c r="B17" s="11" t="s">
        <v>115</v>
      </c>
      <c r="C17" s="11" t="s">
        <v>8</v>
      </c>
      <c r="D17" s="11" t="s">
        <v>388</v>
      </c>
      <c r="E17" s="13">
        <f>6.22*$H$10*7+9.47*5*H10</f>
        <v>25458.289000000001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9316.1260000000002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 t="s">
        <v>189</v>
      </c>
      <c r="E19" s="13">
        <f>0.74*$H$10*7+0.89*5*H10</f>
        <v>2697.3630000000003</v>
      </c>
      <c r="F19" s="40"/>
    </row>
    <row r="20" spans="1:7" ht="25.5">
      <c r="A20" s="14" t="s">
        <v>86</v>
      </c>
      <c r="B20" s="11" t="s">
        <v>19</v>
      </c>
      <c r="C20" s="11" t="s">
        <v>8</v>
      </c>
      <c r="D20" s="84" t="s">
        <v>255</v>
      </c>
      <c r="E20" s="13">
        <f>0.41*$H$10*7+0.61*5*H10</f>
        <v>1658.192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 t="s">
        <v>247</v>
      </c>
      <c r="E21" s="13">
        <f>0.3*$H$10*7+0.35*5*H10</f>
        <v>1078.3850000000002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 t="s">
        <v>316</v>
      </c>
      <c r="E22" s="13">
        <f>0.53*$H$10*7+1.61*5*H10</f>
        <v>3293.9760000000006</v>
      </c>
      <c r="F22" s="40"/>
      <c r="G22" s="117"/>
    </row>
    <row r="23" spans="1:7">
      <c r="A23" s="21" t="s">
        <v>389</v>
      </c>
      <c r="B23" s="22"/>
      <c r="C23" s="22"/>
      <c r="D23" s="22"/>
      <c r="E23" s="23">
        <v>22400</v>
      </c>
      <c r="F23" s="40"/>
      <c r="G23" s="117"/>
    </row>
    <row r="24" spans="1:7">
      <c r="A24" s="21" t="s">
        <v>385</v>
      </c>
      <c r="B24" s="22"/>
      <c r="C24" s="22" t="s">
        <v>203</v>
      </c>
      <c r="D24" s="22"/>
      <c r="E24" s="23">
        <v>200</v>
      </c>
      <c r="F24" s="40"/>
      <c r="G24" s="117"/>
    </row>
    <row r="25" spans="1:7">
      <c r="A25" s="21" t="s">
        <v>384</v>
      </c>
      <c r="B25" s="22"/>
      <c r="C25" s="22" t="s">
        <v>203</v>
      </c>
      <c r="D25" s="22"/>
      <c r="E25" s="23">
        <v>82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73677.005999999994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490</v>
      </c>
      <c r="B28" s="221"/>
      <c r="C28" s="221"/>
      <c r="D28" s="221"/>
      <c r="E28" s="221"/>
      <c r="F28" s="107"/>
    </row>
    <row r="29" spans="1:7">
      <c r="A29" s="5"/>
      <c r="B29" s="5"/>
      <c r="C29" s="5"/>
      <c r="D29" s="5"/>
      <c r="E29" s="6"/>
      <c r="F29" s="6"/>
    </row>
    <row r="30" spans="1:7" ht="34.5" customHeight="1">
      <c r="A30" s="221" t="s">
        <v>491</v>
      </c>
      <c r="B30" s="221"/>
      <c r="C30" s="221"/>
      <c r="D30" s="221"/>
      <c r="E30" s="221"/>
      <c r="F30" s="107"/>
    </row>
    <row r="31" spans="1:7">
      <c r="A31" s="5"/>
      <c r="B31" s="5"/>
      <c r="C31" s="5"/>
      <c r="D31" s="5"/>
      <c r="E31" s="6"/>
      <c r="F31" s="6"/>
    </row>
    <row r="32" spans="1:7" ht="32.25" customHeight="1">
      <c r="A32" s="221" t="s">
        <v>103</v>
      </c>
      <c r="B32" s="221"/>
      <c r="C32" s="221"/>
      <c r="D32" s="221"/>
      <c r="E32" s="221"/>
      <c r="F32" s="108"/>
    </row>
    <row r="33" spans="1:6">
      <c r="A33" s="138"/>
      <c r="B33" s="138"/>
      <c r="C33" s="138"/>
      <c r="D33" s="138"/>
      <c r="E33" s="138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107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109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  <row r="73" spans="1:1">
      <c r="A73" t="s">
        <v>111</v>
      </c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topLeftCell="A9" workbookViewId="0">
      <selection activeCell="F16" sqref="F16:G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24" t="s">
        <v>0</v>
      </c>
      <c r="B1" s="224"/>
      <c r="C1" s="224"/>
      <c r="D1" s="224"/>
      <c r="E1" s="224"/>
    </row>
    <row r="2" spans="1:7" ht="36" customHeight="1">
      <c r="A2" s="225" t="s">
        <v>1</v>
      </c>
      <c r="B2" s="225"/>
      <c r="C2" s="225"/>
      <c r="D2" s="225"/>
      <c r="E2" s="225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226" t="s">
        <v>209</v>
      </c>
      <c r="E4" s="226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221" t="s">
        <v>125</v>
      </c>
      <c r="B7" s="221"/>
      <c r="C7" s="221"/>
      <c r="D7" s="221"/>
      <c r="E7" s="221"/>
    </row>
    <row r="8" spans="1:7">
      <c r="A8" s="3"/>
      <c r="B8" s="3"/>
      <c r="C8" s="3"/>
      <c r="D8" s="3"/>
      <c r="E8" s="4"/>
    </row>
    <row r="9" spans="1:7" ht="45.75" customHeight="1">
      <c r="A9" s="221" t="s">
        <v>116</v>
      </c>
      <c r="B9" s="221"/>
      <c r="C9" s="221"/>
      <c r="D9" s="221"/>
      <c r="E9" s="221"/>
    </row>
    <row r="10" spans="1:7" ht="15.75" thickBot="1">
      <c r="A10" s="5"/>
      <c r="B10" s="5"/>
      <c r="C10" s="5"/>
      <c r="D10" s="5"/>
      <c r="E10" s="6"/>
      <c r="G10">
        <v>403.6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0.4*5*G10</f>
        <v>807.2</v>
      </c>
    </row>
    <row r="13" spans="1:7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D13*5*G10</f>
        <v>1049.3600000000001</v>
      </c>
    </row>
    <row r="14" spans="1:7" ht="38.25">
      <c r="A14" s="14" t="s">
        <v>190</v>
      </c>
      <c r="B14" s="11" t="s">
        <v>115</v>
      </c>
      <c r="C14" s="11" t="s">
        <v>12</v>
      </c>
      <c r="D14" s="12" t="s">
        <v>252</v>
      </c>
      <c r="E14" s="13">
        <f>0.2*7*G10+1.11*5*G10</f>
        <v>2805.0200000000004</v>
      </c>
    </row>
    <row r="15" spans="1:7" ht="38.25">
      <c r="A15" s="14" t="s">
        <v>191</v>
      </c>
      <c r="B15" s="11" t="s">
        <v>17</v>
      </c>
      <c r="C15" s="11" t="s">
        <v>8</v>
      </c>
      <c r="D15" s="12" t="s">
        <v>243</v>
      </c>
      <c r="E15" s="13">
        <f>0.55*7*G10+0.6*5*G10</f>
        <v>2764.6600000000008</v>
      </c>
    </row>
    <row r="16" spans="1:7" ht="51">
      <c r="A16" s="14" t="s">
        <v>13</v>
      </c>
      <c r="B16" s="11" t="s">
        <v>115</v>
      </c>
      <c r="C16" s="11" t="s">
        <v>14</v>
      </c>
      <c r="D16" s="12" t="s">
        <v>253</v>
      </c>
      <c r="E16" s="13">
        <v>3775.6</v>
      </c>
      <c r="G16" s="117"/>
    </row>
    <row r="17" spans="1:11" ht="33" customHeight="1">
      <c r="A17" s="14" t="s">
        <v>15</v>
      </c>
      <c r="B17" s="11" t="s">
        <v>115</v>
      </c>
      <c r="C17" s="11" t="s">
        <v>8</v>
      </c>
      <c r="D17" s="11" t="s">
        <v>254</v>
      </c>
      <c r="E17" s="13">
        <f>5.65*7*G10+8.24*5*G10</f>
        <v>32590.700000000004</v>
      </c>
    </row>
    <row r="18" spans="1:11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2.48*7*G10+3.18*5*G10</f>
        <v>13423.736000000001</v>
      </c>
    </row>
    <row r="19" spans="1:11">
      <c r="A19" s="14" t="s">
        <v>36</v>
      </c>
      <c r="B19" s="11" t="s">
        <v>115</v>
      </c>
      <c r="C19" s="11" t="s">
        <v>8</v>
      </c>
      <c r="D19" s="12">
        <v>0.49</v>
      </c>
      <c r="E19" s="13">
        <f>D19*12*G10</f>
        <v>2373.1680000000001</v>
      </c>
    </row>
    <row r="20" spans="1:11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0.74*7*G10+0.98*5*G10</f>
        <v>4068.2880000000005</v>
      </c>
    </row>
    <row r="21" spans="1:11" ht="25.5">
      <c r="A21" s="14" t="s">
        <v>20</v>
      </c>
      <c r="B21" s="11" t="s">
        <v>19</v>
      </c>
      <c r="C21" s="11" t="s">
        <v>8</v>
      </c>
      <c r="D21" s="15" t="s">
        <v>255</v>
      </c>
      <c r="E21" s="13">
        <f>0.41*7*G10+0.61*5*G10</f>
        <v>2389.3119999999999</v>
      </c>
    </row>
    <row r="22" spans="1:11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0.3*7*G10+0.35*5*G10</f>
        <v>1553.8600000000001</v>
      </c>
      <c r="G22" s="117"/>
    </row>
    <row r="23" spans="1:11" ht="25.5">
      <c r="A23" s="14" t="s">
        <v>22</v>
      </c>
      <c r="B23" s="11" t="s">
        <v>17</v>
      </c>
      <c r="C23" s="11" t="s">
        <v>8</v>
      </c>
      <c r="D23" s="11" t="s">
        <v>256</v>
      </c>
      <c r="E23" s="13">
        <f>0.53*7*G10+1.05*5*G10</f>
        <v>3616.2560000000003</v>
      </c>
      <c r="G23" s="117"/>
    </row>
    <row r="24" spans="1:11" ht="25.5">
      <c r="A24" s="21" t="s">
        <v>241</v>
      </c>
      <c r="B24" s="22"/>
      <c r="C24" s="11" t="s">
        <v>8</v>
      </c>
      <c r="D24" s="22">
        <v>1.86</v>
      </c>
      <c r="E24" s="23">
        <f>D24*5*G10</f>
        <v>3753.4800000000005</v>
      </c>
      <c r="G24" s="117"/>
    </row>
    <row r="25" spans="1:11" ht="25.5" customHeight="1">
      <c r="A25" s="21" t="s">
        <v>251</v>
      </c>
      <c r="B25" s="24"/>
      <c r="C25" s="22" t="s">
        <v>203</v>
      </c>
      <c r="D25" s="22"/>
      <c r="E25" s="23">
        <v>640</v>
      </c>
      <c r="I25" s="117"/>
    </row>
    <row r="26" spans="1:11" ht="26.25" customHeight="1">
      <c r="A26" s="21" t="s">
        <v>206</v>
      </c>
      <c r="B26" s="24"/>
      <c r="C26" s="22" t="s">
        <v>203</v>
      </c>
      <c r="D26" s="22"/>
      <c r="E26" s="23">
        <v>7419.55</v>
      </c>
      <c r="I26" s="117"/>
    </row>
    <row r="27" spans="1:11" ht="19.5" thickBot="1">
      <c r="A27" s="16" t="s">
        <v>35</v>
      </c>
      <c r="B27" s="17"/>
      <c r="C27" s="17"/>
      <c r="D27" s="18"/>
      <c r="E27" s="116">
        <f>SUM(E14:E26)</f>
        <v>81173.62999999999</v>
      </c>
      <c r="G27" s="117"/>
    </row>
    <row r="28" spans="1:11">
      <c r="A28" s="5"/>
      <c r="B28" s="5"/>
      <c r="C28" s="5"/>
      <c r="D28" s="5"/>
      <c r="E28" s="6"/>
    </row>
    <row r="29" spans="1:11" ht="31.5" customHeight="1">
      <c r="A29" s="221" t="s">
        <v>423</v>
      </c>
      <c r="B29" s="221"/>
      <c r="C29" s="221"/>
      <c r="D29" s="221"/>
      <c r="E29" s="221"/>
      <c r="K29" s="117"/>
    </row>
    <row r="30" spans="1:11">
      <c r="A30" s="140"/>
      <c r="B30" s="140"/>
      <c r="C30" s="140"/>
      <c r="D30" s="140"/>
      <c r="E30" s="141"/>
    </row>
    <row r="31" spans="1:11" ht="31.5" customHeight="1">
      <c r="A31" s="221" t="s">
        <v>250</v>
      </c>
      <c r="B31" s="221"/>
      <c r="C31" s="221"/>
      <c r="D31" s="221"/>
      <c r="E31" s="221"/>
    </row>
    <row r="32" spans="1:11">
      <c r="A32" s="119"/>
      <c r="B32" s="119"/>
      <c r="C32" s="119"/>
      <c r="D32" s="119"/>
      <c r="E32" s="119"/>
    </row>
    <row r="33" spans="1:5" ht="32.25" customHeight="1">
      <c r="A33" s="221" t="s">
        <v>103</v>
      </c>
      <c r="B33" s="221"/>
      <c r="C33" s="221"/>
      <c r="D33" s="221"/>
      <c r="E33" s="221"/>
    </row>
    <row r="34" spans="1:5">
      <c r="A34" s="5"/>
      <c r="B34" s="5"/>
      <c r="C34" s="5"/>
      <c r="D34" s="5"/>
      <c r="E34" s="6"/>
    </row>
    <row r="35" spans="1:5">
      <c r="A35" s="222" t="s">
        <v>49</v>
      </c>
      <c r="B35" s="222"/>
      <c r="C35" s="222"/>
      <c r="D35" s="222"/>
      <c r="E35" s="222"/>
    </row>
    <row r="36" spans="1:5">
      <c r="A36" s="5"/>
      <c r="B36" s="5"/>
      <c r="C36" s="5"/>
      <c r="D36" s="5"/>
      <c r="E36" s="6"/>
    </row>
    <row r="37" spans="1:5" ht="28.5" customHeight="1">
      <c r="A37" s="221" t="s">
        <v>24</v>
      </c>
      <c r="B37" s="221"/>
      <c r="C37" s="221"/>
      <c r="D37" s="221"/>
      <c r="E37" s="221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23" t="s">
        <v>25</v>
      </c>
      <c r="B40" s="223"/>
      <c r="C40" s="223"/>
      <c r="D40" s="223"/>
      <c r="E40" s="223"/>
    </row>
    <row r="41" spans="1:5">
      <c r="A41" s="5"/>
      <c r="B41" s="5"/>
      <c r="C41" s="5"/>
      <c r="D41" s="5"/>
      <c r="E41" s="6"/>
    </row>
    <row r="42" spans="1:5">
      <c r="A42" s="5" t="s">
        <v>26</v>
      </c>
      <c r="B42" s="5" t="s">
        <v>27</v>
      </c>
      <c r="C42" s="5"/>
      <c r="D42" s="5"/>
      <c r="E42" s="6" t="s">
        <v>28</v>
      </c>
    </row>
    <row r="43" spans="1:5">
      <c r="A43" s="5"/>
      <c r="B43" s="220" t="s">
        <v>29</v>
      </c>
      <c r="C43" s="220"/>
      <c r="D43" s="220"/>
      <c r="E43" s="6" t="s">
        <v>30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31</v>
      </c>
      <c r="B46" s="5" t="s">
        <v>27</v>
      </c>
      <c r="C46" s="5"/>
      <c r="D46" s="5"/>
      <c r="E46" s="6" t="s">
        <v>28</v>
      </c>
    </row>
    <row r="47" spans="1:5">
      <c r="A47" s="5"/>
      <c r="B47" s="220" t="s">
        <v>29</v>
      </c>
      <c r="C47" s="220"/>
      <c r="D47" s="220"/>
      <c r="E47" s="6" t="s">
        <v>30</v>
      </c>
    </row>
    <row r="48" spans="1:5">
      <c r="A48" s="5"/>
      <c r="B48" s="5"/>
      <c r="C48" s="5"/>
      <c r="D48" s="5"/>
      <c r="E48" s="6"/>
    </row>
  </sheetData>
  <mergeCells count="13">
    <mergeCell ref="B47:D47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40:E40"/>
    <mergeCell ref="B43:D43"/>
    <mergeCell ref="A37:E37"/>
  </mergeCells>
  <pageMargins left="0.24" right="0.21" top="0.42" bottom="0.1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68"/>
  <sheetViews>
    <sheetView topLeftCell="A13" workbookViewId="0">
      <selection activeCell="F14" sqref="F14:H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04"/>
    </row>
    <row r="2" spans="1:8" ht="36" customHeight="1">
      <c r="A2" s="225" t="s">
        <v>1</v>
      </c>
      <c r="B2" s="225"/>
      <c r="C2" s="225"/>
      <c r="D2" s="225"/>
      <c r="E2" s="225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26" t="s">
        <v>209</v>
      </c>
      <c r="E4" s="226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186</v>
      </c>
      <c r="B7" s="221"/>
      <c r="C7" s="221"/>
      <c r="D7" s="221"/>
      <c r="E7" s="221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98</v>
      </c>
      <c r="B9" s="221"/>
      <c r="C9" s="221"/>
      <c r="D9" s="221"/>
      <c r="E9" s="221"/>
      <c r="F9" s="107"/>
    </row>
    <row r="10" spans="1:8" ht="15.75" thickBot="1">
      <c r="A10" s="5"/>
      <c r="B10" s="5"/>
      <c r="C10" s="5"/>
      <c r="D10" s="5"/>
      <c r="E10" s="6"/>
      <c r="F10" s="6"/>
      <c r="H10">
        <v>268.5</v>
      </c>
    </row>
    <row r="11" spans="1:8" ht="82.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38.25">
      <c r="A12" s="14" t="s">
        <v>190</v>
      </c>
      <c r="B12" s="11" t="s">
        <v>115</v>
      </c>
      <c r="C12" s="11" t="s">
        <v>12</v>
      </c>
      <c r="D12" s="12">
        <v>0.44</v>
      </c>
      <c r="E12" s="13">
        <f t="shared" ref="E12:E22" si="0">D12*$H$10*12</f>
        <v>1417.68</v>
      </c>
      <c r="F12" s="40"/>
      <c r="G12" s="117"/>
    </row>
    <row r="13" spans="1:8" ht="38.25">
      <c r="A13" s="14" t="s">
        <v>191</v>
      </c>
      <c r="B13" s="11" t="s">
        <v>17</v>
      </c>
      <c r="C13" s="11" t="s">
        <v>8</v>
      </c>
      <c r="D13" s="12">
        <v>0.55000000000000004</v>
      </c>
      <c r="E13" s="13">
        <f t="shared" si="0"/>
        <v>1772.1000000000001</v>
      </c>
      <c r="F13" s="40"/>
      <c r="G13" s="117"/>
    </row>
    <row r="14" spans="1:8" ht="51">
      <c r="A14" s="14" t="s">
        <v>13</v>
      </c>
      <c r="B14" s="11" t="s">
        <v>115</v>
      </c>
      <c r="C14" s="11" t="s">
        <v>14</v>
      </c>
      <c r="D14" s="12">
        <v>0.33</v>
      </c>
      <c r="E14" s="13">
        <v>1274.08</v>
      </c>
      <c r="F14" s="40"/>
      <c r="G14" s="117"/>
    </row>
    <row r="15" spans="1:8" ht="25.5">
      <c r="A15" s="14" t="s">
        <v>38</v>
      </c>
      <c r="B15" s="11" t="s">
        <v>115</v>
      </c>
      <c r="C15" s="11" t="s">
        <v>8</v>
      </c>
      <c r="D15" s="12">
        <v>2.61</v>
      </c>
      <c r="E15" s="13">
        <f t="shared" si="0"/>
        <v>8409.42</v>
      </c>
      <c r="F15" s="40"/>
      <c r="G15" s="117"/>
    </row>
    <row r="16" spans="1:8" ht="25.5">
      <c r="A16" s="14" t="s">
        <v>15</v>
      </c>
      <c r="B16" s="11" t="s">
        <v>115</v>
      </c>
      <c r="C16" s="11" t="s">
        <v>8</v>
      </c>
      <c r="D16" s="11">
        <v>6.7</v>
      </c>
      <c r="E16" s="13">
        <f t="shared" si="0"/>
        <v>21587.4</v>
      </c>
      <c r="F16" s="40"/>
      <c r="G16" s="117"/>
    </row>
    <row r="17" spans="1:7">
      <c r="A17" s="14" t="s">
        <v>32</v>
      </c>
      <c r="B17" s="11" t="s">
        <v>17</v>
      </c>
      <c r="C17" s="11" t="s">
        <v>8</v>
      </c>
      <c r="D17" s="12">
        <v>2.48</v>
      </c>
      <c r="E17" s="13">
        <f t="shared" si="0"/>
        <v>7990.5599999999995</v>
      </c>
      <c r="F17" s="40"/>
      <c r="G17" s="117"/>
    </row>
    <row r="18" spans="1:7">
      <c r="A18" s="14" t="s">
        <v>36</v>
      </c>
      <c r="B18" s="11" t="s">
        <v>115</v>
      </c>
      <c r="C18" s="11" t="s">
        <v>8</v>
      </c>
      <c r="D18" s="12">
        <v>0.51</v>
      </c>
      <c r="E18" s="13">
        <f t="shared" si="0"/>
        <v>1643.22</v>
      </c>
      <c r="F18" s="40"/>
      <c r="G18" s="117"/>
    </row>
    <row r="19" spans="1:7" ht="25.5">
      <c r="A19" s="14" t="s">
        <v>18</v>
      </c>
      <c r="B19" s="11" t="s">
        <v>19</v>
      </c>
      <c r="C19" s="11" t="s">
        <v>8</v>
      </c>
      <c r="D19" s="12">
        <v>0.74</v>
      </c>
      <c r="E19" s="13">
        <f t="shared" si="0"/>
        <v>2384.2799999999997</v>
      </c>
      <c r="F19" s="40"/>
      <c r="G19" s="117"/>
    </row>
    <row r="20" spans="1:7" ht="25.5">
      <c r="A20" s="14" t="s">
        <v>99</v>
      </c>
      <c r="B20" s="11" t="s">
        <v>19</v>
      </c>
      <c r="C20" s="11" t="s">
        <v>8</v>
      </c>
      <c r="D20" s="84">
        <v>1.47</v>
      </c>
      <c r="E20" s="13">
        <v>5254.44</v>
      </c>
      <c r="F20" s="40"/>
      <c r="G20" s="117"/>
    </row>
    <row r="21" spans="1:7" ht="25.5">
      <c r="A21" s="14" t="s">
        <v>21</v>
      </c>
      <c r="B21" s="11" t="s">
        <v>19</v>
      </c>
      <c r="C21" s="11" t="s">
        <v>8</v>
      </c>
      <c r="D21" s="11">
        <v>0.3</v>
      </c>
      <c r="E21" s="13">
        <f t="shared" si="0"/>
        <v>966.59999999999991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0.53</v>
      </c>
      <c r="E22" s="13">
        <f t="shared" si="0"/>
        <v>1707.66</v>
      </c>
      <c r="F22" s="40"/>
      <c r="G22" s="117"/>
    </row>
    <row r="23" spans="1:7" ht="25.5">
      <c r="A23" s="21" t="s">
        <v>206</v>
      </c>
      <c r="B23" s="22"/>
      <c r="C23" s="22"/>
      <c r="D23" s="22"/>
      <c r="E23" s="23">
        <f>36766.85/1000*H10/2</f>
        <v>4935.9496124999996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59343.389612500003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21" t="s">
        <v>492</v>
      </c>
      <c r="B26" s="221"/>
      <c r="C26" s="221"/>
      <c r="D26" s="221"/>
      <c r="E26" s="221"/>
      <c r="F26" s="10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493</v>
      </c>
      <c r="B28" s="221"/>
      <c r="C28" s="221"/>
      <c r="D28" s="221"/>
      <c r="E28" s="221"/>
      <c r="F28" s="107"/>
    </row>
    <row r="29" spans="1:7">
      <c r="A29" s="5"/>
      <c r="B29" s="5"/>
      <c r="C29" s="5"/>
      <c r="D29" s="5"/>
      <c r="E29" s="6"/>
      <c r="F29" s="6"/>
    </row>
    <row r="30" spans="1:7" ht="34.5" customHeight="1">
      <c r="A30" s="221" t="s">
        <v>103</v>
      </c>
      <c r="B30" s="221"/>
      <c r="C30" s="221"/>
      <c r="D30" s="221"/>
      <c r="E30" s="221"/>
      <c r="F30" s="108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07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09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8" spans="1:1">
      <c r="A68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70"/>
  <sheetViews>
    <sheetView topLeftCell="A10" workbookViewId="0">
      <selection activeCell="F15" sqref="F15:G1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10"/>
    </row>
    <row r="2" spans="1:8" ht="36" customHeight="1">
      <c r="A2" s="225" t="s">
        <v>1</v>
      </c>
      <c r="B2" s="225"/>
      <c r="C2" s="225"/>
      <c r="D2" s="225"/>
      <c r="E2" s="225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226" t="s">
        <v>209</v>
      </c>
      <c r="E4" s="226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187</v>
      </c>
      <c r="B7" s="221"/>
      <c r="C7" s="221"/>
      <c r="D7" s="221"/>
      <c r="E7" s="221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100</v>
      </c>
      <c r="B9" s="221"/>
      <c r="C9" s="221"/>
      <c r="D9" s="221"/>
      <c r="E9" s="221"/>
      <c r="F9" s="113"/>
    </row>
    <row r="10" spans="1:8" ht="15.75" thickBot="1">
      <c r="A10" s="5"/>
      <c r="B10" s="5"/>
      <c r="C10" s="5"/>
      <c r="D10" s="5"/>
      <c r="E10" s="6"/>
      <c r="F10" s="6"/>
      <c r="H10">
        <v>382.1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3">
        <f>D12*8*H10</f>
        <v>1222.72</v>
      </c>
      <c r="F12" s="39"/>
    </row>
    <row r="13" spans="1:8" ht="51">
      <c r="A13" s="14" t="s">
        <v>10</v>
      </c>
      <c r="B13" s="11" t="s">
        <v>115</v>
      </c>
      <c r="C13" s="11" t="s">
        <v>12</v>
      </c>
      <c r="D13" s="12" t="s">
        <v>391</v>
      </c>
      <c r="E13" s="13">
        <f>0.23*4*H10+1.05*8*H10</f>
        <v>3561.1720000000005</v>
      </c>
      <c r="F13" s="40"/>
      <c r="G13" s="117"/>
    </row>
    <row r="14" spans="1:8" ht="51">
      <c r="A14" s="14" t="s">
        <v>37</v>
      </c>
      <c r="B14" s="11" t="s">
        <v>17</v>
      </c>
      <c r="C14" s="11" t="s">
        <v>8</v>
      </c>
      <c r="D14" s="12" t="s">
        <v>243</v>
      </c>
      <c r="E14" s="13">
        <f>0.55*4*H10+0.6*8*H10</f>
        <v>2674.7000000000003</v>
      </c>
      <c r="F14" s="40"/>
    </row>
    <row r="15" spans="1:8" ht="51">
      <c r="A15" s="14" t="s">
        <v>13</v>
      </c>
      <c r="B15" s="11" t="s">
        <v>115</v>
      </c>
      <c r="C15" s="11" t="s">
        <v>14</v>
      </c>
      <c r="D15" s="12" t="s">
        <v>392</v>
      </c>
      <c r="E15" s="13">
        <v>3978.65</v>
      </c>
      <c r="F15" s="40"/>
      <c r="G15" s="117"/>
    </row>
    <row r="16" spans="1:8" ht="25.5">
      <c r="A16" s="14" t="s">
        <v>38</v>
      </c>
      <c r="B16" s="11" t="s">
        <v>115</v>
      </c>
      <c r="C16" s="11" t="s">
        <v>8</v>
      </c>
      <c r="D16" s="12" t="s">
        <v>393</v>
      </c>
      <c r="E16" s="13">
        <f>1.52*$H$10*4+1.6*8*H10</f>
        <v>7214.0480000000007</v>
      </c>
      <c r="F16" s="40"/>
    </row>
    <row r="17" spans="1:7" ht="25.5">
      <c r="A17" s="14" t="s">
        <v>395</v>
      </c>
      <c r="B17" s="11" t="s">
        <v>17</v>
      </c>
      <c r="C17" s="11"/>
      <c r="D17" s="12">
        <v>1.69</v>
      </c>
      <c r="E17" s="13">
        <f>D17*8*H10</f>
        <v>5165.9920000000002</v>
      </c>
      <c r="F17" s="40"/>
    </row>
    <row r="18" spans="1:7" ht="25.5">
      <c r="A18" s="14" t="s">
        <v>15</v>
      </c>
      <c r="B18" s="11" t="s">
        <v>115</v>
      </c>
      <c r="C18" s="11" t="s">
        <v>8</v>
      </c>
      <c r="D18" s="11" t="s">
        <v>394</v>
      </c>
      <c r="E18" s="13">
        <f>4.95*$H$10*4+4.45*8*H10</f>
        <v>21168.340000000004</v>
      </c>
      <c r="F18" s="40"/>
    </row>
    <row r="19" spans="1:7">
      <c r="A19" s="14" t="s">
        <v>32</v>
      </c>
      <c r="B19" s="11" t="s">
        <v>17</v>
      </c>
      <c r="C19" s="11" t="s">
        <v>8</v>
      </c>
      <c r="D19" s="12" t="s">
        <v>198</v>
      </c>
      <c r="E19" s="13">
        <f>2.48*$H$10*4+2.98*8*H10</f>
        <v>12899.696000000002</v>
      </c>
      <c r="F19" s="40"/>
    </row>
    <row r="20" spans="1:7">
      <c r="A20" s="14" t="s">
        <v>36</v>
      </c>
      <c r="B20" s="11" t="s">
        <v>115</v>
      </c>
      <c r="C20" s="11" t="s">
        <v>8</v>
      </c>
      <c r="D20" s="12">
        <v>0.52</v>
      </c>
      <c r="E20" s="13">
        <f t="shared" ref="E20" si="0">D20*$H$10*12</f>
        <v>2384.3040000000001</v>
      </c>
      <c r="F20" s="40"/>
    </row>
    <row r="21" spans="1:7" ht="25.5">
      <c r="A21" s="14" t="s">
        <v>18</v>
      </c>
      <c r="B21" s="11" t="s">
        <v>19</v>
      </c>
      <c r="C21" s="11" t="s">
        <v>8</v>
      </c>
      <c r="D21" s="12" t="s">
        <v>215</v>
      </c>
      <c r="E21" s="13">
        <f>0.81*$H$10*4+0.98*8*H10</f>
        <v>4233.6680000000006</v>
      </c>
      <c r="F21" s="40"/>
    </row>
    <row r="22" spans="1:7" ht="25.5">
      <c r="A22" s="14" t="s">
        <v>86</v>
      </c>
      <c r="B22" s="11" t="s">
        <v>19</v>
      </c>
      <c r="C22" s="11" t="s">
        <v>8</v>
      </c>
      <c r="D22" s="84">
        <v>0.45</v>
      </c>
      <c r="E22" s="13">
        <f>D22*$H$10*4</f>
        <v>687.78000000000009</v>
      </c>
      <c r="F22" s="40"/>
    </row>
    <row r="23" spans="1:7" ht="25.5">
      <c r="A23" s="14" t="s">
        <v>21</v>
      </c>
      <c r="B23" s="11" t="s">
        <v>19</v>
      </c>
      <c r="C23" s="11" t="s">
        <v>8</v>
      </c>
      <c r="D23" s="11" t="s">
        <v>217</v>
      </c>
      <c r="E23" s="13">
        <f>0.31*4*H10+0.35*8*H10</f>
        <v>1543.6840000000002</v>
      </c>
      <c r="F23" s="40"/>
      <c r="G23" s="117"/>
    </row>
    <row r="24" spans="1:7" ht="25.5">
      <c r="A24" s="14" t="s">
        <v>22</v>
      </c>
      <c r="B24" s="11" t="s">
        <v>17</v>
      </c>
      <c r="C24" s="11" t="s">
        <v>8</v>
      </c>
      <c r="D24" s="11" t="s">
        <v>316</v>
      </c>
      <c r="E24" s="13">
        <f>0.53*4*H10+1.61*8*H10</f>
        <v>5731.5</v>
      </c>
      <c r="F24" s="40"/>
      <c r="G24" s="117"/>
    </row>
    <row r="25" spans="1:7" ht="25.5">
      <c r="A25" s="21" t="s">
        <v>390</v>
      </c>
      <c r="B25" s="22"/>
      <c r="C25" s="11" t="s">
        <v>203</v>
      </c>
      <c r="D25" s="22"/>
      <c r="E25" s="13">
        <v>918</v>
      </c>
      <c r="F25" s="40"/>
    </row>
    <row r="26" spans="1:7">
      <c r="A26" s="21" t="s">
        <v>404</v>
      </c>
      <c r="B26" s="22"/>
      <c r="C26" s="11" t="s">
        <v>203</v>
      </c>
      <c r="D26" s="22"/>
      <c r="E26" s="23">
        <v>5805</v>
      </c>
      <c r="F26" s="40"/>
    </row>
    <row r="27" spans="1:7" ht="19.5" thickBot="1">
      <c r="A27" s="16" t="s">
        <v>35</v>
      </c>
      <c r="B27" s="17"/>
      <c r="C27" s="17"/>
      <c r="D27" s="85"/>
      <c r="E27" s="116">
        <f>SUM(E12:E26)</f>
        <v>79189.254000000001</v>
      </c>
      <c r="F27" s="41"/>
      <c r="G27" s="117"/>
    </row>
    <row r="28" spans="1:7">
      <c r="A28" s="5"/>
      <c r="B28" s="5"/>
      <c r="C28" s="5"/>
      <c r="D28" s="5"/>
      <c r="E28" s="6"/>
      <c r="F28" s="6"/>
    </row>
    <row r="29" spans="1:7" ht="33" customHeight="1">
      <c r="A29" s="221" t="s">
        <v>494</v>
      </c>
      <c r="B29" s="221"/>
      <c r="C29" s="221"/>
      <c r="D29" s="221"/>
      <c r="E29" s="221"/>
      <c r="F29" s="113"/>
    </row>
    <row r="30" spans="1:7">
      <c r="A30" s="5"/>
      <c r="B30" s="5"/>
      <c r="C30" s="5"/>
      <c r="D30" s="5"/>
      <c r="E30" s="6"/>
      <c r="F30" s="6"/>
    </row>
    <row r="31" spans="1:7" ht="32.25" customHeight="1">
      <c r="A31" s="221" t="s">
        <v>495</v>
      </c>
      <c r="B31" s="221"/>
      <c r="C31" s="221"/>
      <c r="D31" s="221"/>
      <c r="E31" s="221"/>
      <c r="F31" s="113"/>
    </row>
    <row r="32" spans="1:7">
      <c r="A32" s="5"/>
      <c r="B32" s="5"/>
      <c r="C32" s="5"/>
      <c r="D32" s="5"/>
      <c r="E32" s="6"/>
      <c r="F32" s="6"/>
    </row>
    <row r="33" spans="1:6" ht="29.25" customHeight="1">
      <c r="A33" s="221" t="s">
        <v>103</v>
      </c>
      <c r="B33" s="221"/>
      <c r="C33" s="221"/>
      <c r="D33" s="221"/>
      <c r="E33" s="221"/>
      <c r="F33" s="114"/>
    </row>
    <row r="34" spans="1:6">
      <c r="A34" s="138"/>
      <c r="B34" s="138"/>
      <c r="C34" s="138"/>
      <c r="D34" s="138"/>
      <c r="E34" s="138"/>
      <c r="F34" s="6"/>
    </row>
    <row r="35" spans="1:6" ht="28.5" customHeight="1">
      <c r="A35" s="221" t="s">
        <v>24</v>
      </c>
      <c r="B35" s="221"/>
      <c r="C35" s="221"/>
      <c r="D35" s="221"/>
      <c r="E35" s="221"/>
      <c r="F35" s="113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115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  <row r="70" spans="1:1">
      <c r="A70" t="s">
        <v>111</v>
      </c>
    </row>
  </sheetData>
  <mergeCells count="12">
    <mergeCell ref="B45:D45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74"/>
  <sheetViews>
    <sheetView topLeftCell="A10" workbookViewId="0">
      <selection activeCell="F16" sqref="F16:H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10"/>
    </row>
    <row r="2" spans="1:8" ht="36" customHeight="1">
      <c r="A2" s="225" t="s">
        <v>1</v>
      </c>
      <c r="B2" s="225"/>
      <c r="C2" s="225"/>
      <c r="D2" s="225"/>
      <c r="E2" s="225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226" t="s">
        <v>209</v>
      </c>
      <c r="E4" s="226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396</v>
      </c>
      <c r="B7" s="221"/>
      <c r="C7" s="221"/>
      <c r="D7" s="221"/>
      <c r="E7" s="221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101</v>
      </c>
      <c r="B9" s="221"/>
      <c r="C9" s="221"/>
      <c r="D9" s="221"/>
      <c r="E9" s="221"/>
      <c r="F9" s="113"/>
    </row>
    <row r="10" spans="1:8" ht="15.75" thickBot="1">
      <c r="A10" s="5"/>
      <c r="B10" s="5"/>
      <c r="C10" s="5"/>
      <c r="D10" s="5"/>
      <c r="E10" s="6"/>
      <c r="F10" s="6"/>
      <c r="H10">
        <v>214.7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3">
        <f>D12*5*H10</f>
        <v>429.4</v>
      </c>
      <c r="F12" s="39"/>
    </row>
    <row r="13" spans="1:8" ht="48">
      <c r="A13" s="180" t="s">
        <v>208</v>
      </c>
      <c r="B13" s="213" t="s">
        <v>137</v>
      </c>
      <c r="C13" s="11" t="s">
        <v>8</v>
      </c>
      <c r="D13" s="15">
        <v>0.52</v>
      </c>
      <c r="E13" s="13">
        <f>D13*5*H10</f>
        <v>558.22</v>
      </c>
      <c r="F13" s="39"/>
    </row>
    <row r="14" spans="1:8" ht="38.25">
      <c r="A14" s="14" t="s">
        <v>190</v>
      </c>
      <c r="B14" s="11" t="s">
        <v>11</v>
      </c>
      <c r="C14" s="11" t="s">
        <v>12</v>
      </c>
      <c r="D14" s="12" t="s">
        <v>397</v>
      </c>
      <c r="E14" s="13">
        <f>0.93*12*H10</f>
        <v>2396.0519999999997</v>
      </c>
      <c r="F14" s="40"/>
      <c r="G14" s="117"/>
    </row>
    <row r="15" spans="1:8" ht="38.25">
      <c r="A15" s="14" t="s">
        <v>191</v>
      </c>
      <c r="B15" s="11" t="s">
        <v>9</v>
      </c>
      <c r="C15" s="11" t="s">
        <v>8</v>
      </c>
      <c r="D15" s="12" t="s">
        <v>243</v>
      </c>
      <c r="E15" s="13">
        <f>0.55*$H$10*7+0.6*5*H10</f>
        <v>1470.6949999999999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 t="s">
        <v>357</v>
      </c>
      <c r="E16" s="13">
        <v>571.57000000000005</v>
      </c>
      <c r="F16" s="40"/>
      <c r="G16" s="117"/>
    </row>
    <row r="17" spans="1:7">
      <c r="A17" s="14" t="s">
        <v>32</v>
      </c>
      <c r="B17" s="11" t="s">
        <v>17</v>
      </c>
      <c r="C17" s="11" t="s">
        <v>8</v>
      </c>
      <c r="D17" s="12" t="s">
        <v>214</v>
      </c>
      <c r="E17" s="13">
        <f>2.48*$H$10*7+3.18*5*H10</f>
        <v>7140.9220000000005</v>
      </c>
      <c r="F17" s="40"/>
    </row>
    <row r="18" spans="1:7">
      <c r="A18" s="14" t="s">
        <v>36</v>
      </c>
      <c r="B18" s="11"/>
      <c r="C18" s="11" t="s">
        <v>8</v>
      </c>
      <c r="D18" s="12">
        <v>0.18</v>
      </c>
      <c r="E18" s="13">
        <f t="shared" ref="E18" si="0">D18*$H$10*12</f>
        <v>463.75199999999995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>
        <v>0.98</v>
      </c>
      <c r="E19" s="13">
        <f>0.98*12*H10</f>
        <v>2524.8719999999998</v>
      </c>
      <c r="F19" s="40"/>
    </row>
    <row r="20" spans="1:7" ht="25.5">
      <c r="A20" s="14" t="s">
        <v>110</v>
      </c>
      <c r="B20" s="11" t="s">
        <v>19</v>
      </c>
      <c r="C20" s="11" t="s">
        <v>8</v>
      </c>
      <c r="D20" s="84">
        <v>1.69</v>
      </c>
      <c r="E20" s="13">
        <f>1.69*12*H10</f>
        <v>4354.116</v>
      </c>
      <c r="F20" s="40"/>
      <c r="G20" s="117"/>
    </row>
    <row r="21" spans="1:7" ht="25.5">
      <c r="A21" s="14" t="s">
        <v>21</v>
      </c>
      <c r="B21" s="11" t="s">
        <v>19</v>
      </c>
      <c r="C21" s="11" t="s">
        <v>8</v>
      </c>
      <c r="D21" s="11">
        <v>0.35</v>
      </c>
      <c r="E21" s="13">
        <f>0.35*12*H10</f>
        <v>901.73999999999978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1.61</v>
      </c>
      <c r="E22" s="13">
        <f>1.61*12*H10</f>
        <v>4148.0039999999999</v>
      </c>
      <c r="F22" s="40"/>
      <c r="G22" s="117"/>
    </row>
    <row r="23" spans="1:7" ht="25.5">
      <c r="A23" s="21" t="s">
        <v>206</v>
      </c>
      <c r="B23" s="22"/>
      <c r="C23" s="22"/>
      <c r="D23" s="22"/>
      <c r="E23" s="23">
        <f>36766.85/1000*H10/2</f>
        <v>3946.9213474999997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28906.2643475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3" customHeight="1">
      <c r="A26" s="221" t="s">
        <v>541</v>
      </c>
      <c r="B26" s="221"/>
      <c r="C26" s="221"/>
      <c r="D26" s="221"/>
      <c r="E26" s="221"/>
      <c r="F26" s="113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496</v>
      </c>
      <c r="B28" s="221"/>
      <c r="C28" s="221"/>
      <c r="D28" s="221"/>
      <c r="E28" s="221"/>
      <c r="F28" s="113"/>
    </row>
    <row r="29" spans="1:7">
      <c r="A29" s="5"/>
      <c r="B29" s="5"/>
      <c r="C29" s="5"/>
      <c r="D29" s="5"/>
      <c r="E29" s="6"/>
      <c r="F29" s="6"/>
    </row>
    <row r="30" spans="1:7" ht="33" customHeight="1">
      <c r="A30" s="221" t="s">
        <v>103</v>
      </c>
      <c r="B30" s="221"/>
      <c r="C30" s="221"/>
      <c r="D30" s="221"/>
      <c r="E30" s="221"/>
      <c r="F30" s="114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221" t="s">
        <v>24</v>
      </c>
      <c r="B32" s="221"/>
      <c r="C32" s="221"/>
      <c r="D32" s="221"/>
      <c r="E32" s="221"/>
      <c r="F32" s="113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23" t="s">
        <v>25</v>
      </c>
      <c r="B35" s="223"/>
      <c r="C35" s="223"/>
      <c r="D35" s="223"/>
      <c r="E35" s="223"/>
      <c r="F35" s="115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220" t="s">
        <v>29</v>
      </c>
      <c r="C38" s="220"/>
      <c r="D38" s="220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220" t="s">
        <v>29</v>
      </c>
      <c r="C42" s="220"/>
      <c r="D42" s="220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4" spans="1:1">
      <c r="A74" t="s">
        <v>111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K16" sqref="K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110"/>
    </row>
    <row r="2" spans="1:8" ht="36" customHeight="1">
      <c r="A2" s="225" t="s">
        <v>1</v>
      </c>
      <c r="B2" s="225"/>
      <c r="C2" s="225"/>
      <c r="D2" s="225"/>
      <c r="E2" s="225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226" t="s">
        <v>209</v>
      </c>
      <c r="E4" s="226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188</v>
      </c>
      <c r="B7" s="221"/>
      <c r="C7" s="221"/>
      <c r="D7" s="221"/>
      <c r="E7" s="221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102</v>
      </c>
      <c r="B9" s="221"/>
      <c r="C9" s="221"/>
      <c r="D9" s="221"/>
      <c r="E9" s="221"/>
      <c r="F9" s="113"/>
    </row>
    <row r="10" spans="1:8" ht="15.75" thickBot="1">
      <c r="A10" s="5"/>
      <c r="B10" s="5"/>
      <c r="C10" s="5"/>
      <c r="D10" s="5"/>
      <c r="E10" s="6"/>
      <c r="F10" s="6"/>
      <c r="H10">
        <v>498.1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0.2</v>
      </c>
      <c r="E12" s="13">
        <f>D12*5*H10</f>
        <v>498.1</v>
      </c>
      <c r="F12" s="39"/>
    </row>
    <row r="13" spans="1:8" ht="48">
      <c r="A13" s="180" t="s">
        <v>208</v>
      </c>
      <c r="B13" s="213" t="s">
        <v>137</v>
      </c>
      <c r="C13" s="11" t="s">
        <v>8</v>
      </c>
      <c r="D13" s="15">
        <v>0.26</v>
      </c>
      <c r="E13" s="13">
        <f>D13*5*H10</f>
        <v>647.53000000000009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 t="s">
        <v>400</v>
      </c>
      <c r="E14" s="13">
        <v>10050</v>
      </c>
      <c r="F14" s="40"/>
      <c r="G14" s="117"/>
    </row>
    <row r="15" spans="1:8" ht="51">
      <c r="A15" s="14" t="s">
        <v>37</v>
      </c>
      <c r="B15" s="11" t="s">
        <v>9</v>
      </c>
      <c r="C15" s="11" t="s">
        <v>8</v>
      </c>
      <c r="D15" s="12" t="s">
        <v>401</v>
      </c>
      <c r="E15" s="13">
        <f>1.04*$H$10*7+0.3*5*H10</f>
        <v>4373.3180000000002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 t="s">
        <v>402</v>
      </c>
      <c r="E16" s="13">
        <v>528.07000000000005</v>
      </c>
      <c r="F16" s="40"/>
      <c r="G16" s="117"/>
    </row>
    <row r="17" spans="1:7" ht="42" customHeight="1">
      <c r="A17" s="14" t="s">
        <v>15</v>
      </c>
      <c r="B17" s="11" t="s">
        <v>16</v>
      </c>
      <c r="C17" s="11" t="s">
        <v>8</v>
      </c>
      <c r="D17" s="11" t="s">
        <v>403</v>
      </c>
      <c r="E17" s="13">
        <f>7.93*$H$10*7+5.91*5*H10</f>
        <v>42368.385999999999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2.48*$H$10*7+3.18*5*H10</f>
        <v>16566.806</v>
      </c>
      <c r="F18" s="40"/>
    </row>
    <row r="19" spans="1:7">
      <c r="A19" s="14" t="s">
        <v>36</v>
      </c>
      <c r="B19" s="11"/>
      <c r="C19" s="11" t="s">
        <v>8</v>
      </c>
      <c r="D19" s="12">
        <v>0.16</v>
      </c>
      <c r="E19" s="13">
        <f t="shared" ref="E19" si="0">D19*$H$10*12</f>
        <v>956.35200000000009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215</v>
      </c>
      <c r="E20" s="13">
        <f>0.81*$H$10*7+0.98*5*H10</f>
        <v>5264.9170000000013</v>
      </c>
      <c r="F20" s="40"/>
    </row>
    <row r="21" spans="1:7" ht="25.5">
      <c r="A21" s="14" t="s">
        <v>110</v>
      </c>
      <c r="B21" s="11" t="s">
        <v>19</v>
      </c>
      <c r="C21" s="11" t="s">
        <v>8</v>
      </c>
      <c r="D21" s="84" t="s">
        <v>216</v>
      </c>
      <c r="E21" s="13">
        <v>9754.7999999999993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217</v>
      </c>
      <c r="E22" s="13">
        <f>0.31*7*H10+0.35*5*H10</f>
        <v>1952.5520000000001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316</v>
      </c>
      <c r="E23" s="13">
        <f>0.53*7*H10+1.61*5*H10</f>
        <v>5857.6560000000009</v>
      </c>
      <c r="F23" s="40"/>
      <c r="G23" s="117"/>
    </row>
    <row r="24" spans="1:7" ht="25.5">
      <c r="A24" s="21" t="s">
        <v>399</v>
      </c>
      <c r="B24" s="22" t="s">
        <v>398</v>
      </c>
      <c r="C24" s="11" t="s">
        <v>203</v>
      </c>
      <c r="D24" s="22"/>
      <c r="E24" s="13">
        <v>910</v>
      </c>
      <c r="F24" s="40"/>
    </row>
    <row r="25" spans="1:7" ht="25.5">
      <c r="A25" s="21" t="s">
        <v>206</v>
      </c>
      <c r="B25" s="22"/>
      <c r="C25" s="11" t="s">
        <v>203</v>
      </c>
      <c r="D25" s="22"/>
      <c r="E25" s="23">
        <f>36766.85/1000*H10/2</f>
        <v>9156.7839925000007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108885.27099249999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497</v>
      </c>
      <c r="B28" s="221"/>
      <c r="C28" s="221"/>
      <c r="D28" s="221"/>
      <c r="E28" s="221"/>
      <c r="F28" s="113"/>
    </row>
    <row r="29" spans="1:7">
      <c r="A29" s="5"/>
      <c r="B29" s="5"/>
      <c r="C29" s="5"/>
      <c r="D29" s="5"/>
      <c r="E29" s="6"/>
      <c r="F29" s="6"/>
    </row>
    <row r="30" spans="1:7" ht="32.25" customHeight="1">
      <c r="A30" s="221" t="s">
        <v>498</v>
      </c>
      <c r="B30" s="221"/>
      <c r="C30" s="221"/>
      <c r="D30" s="221"/>
      <c r="E30" s="221"/>
      <c r="F30" s="113"/>
    </row>
    <row r="31" spans="1:7">
      <c r="A31" s="5"/>
      <c r="B31" s="5"/>
      <c r="C31" s="5"/>
      <c r="D31" s="5"/>
      <c r="E31" s="6"/>
      <c r="F31" s="6"/>
    </row>
    <row r="32" spans="1:7" ht="32.25" customHeight="1">
      <c r="A32" s="221" t="s">
        <v>103</v>
      </c>
      <c r="B32" s="221"/>
      <c r="C32" s="221"/>
      <c r="D32" s="221"/>
      <c r="E32" s="221"/>
      <c r="F32" s="114"/>
    </row>
    <row r="33" spans="1:6">
      <c r="A33" s="138"/>
      <c r="B33" s="138"/>
      <c r="C33" s="138"/>
      <c r="D33" s="138"/>
      <c r="E33" s="138"/>
      <c r="F33" s="6"/>
    </row>
    <row r="34" spans="1:6" ht="28.5" customHeight="1">
      <c r="A34" s="221" t="s">
        <v>24</v>
      </c>
      <c r="B34" s="221"/>
      <c r="C34" s="221"/>
      <c r="D34" s="221"/>
      <c r="E34" s="221"/>
      <c r="F34" s="113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23" t="s">
        <v>25</v>
      </c>
      <c r="B37" s="223"/>
      <c r="C37" s="223"/>
      <c r="D37" s="223"/>
      <c r="E37" s="223"/>
      <c r="F37" s="115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topLeftCell="A10" workbookViewId="0">
      <selection activeCell="G26" sqref="G26:I3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9"/>
    </row>
    <row r="2" spans="1:8" ht="36" customHeight="1">
      <c r="A2" s="225" t="s">
        <v>1</v>
      </c>
      <c r="B2" s="225"/>
      <c r="C2" s="225"/>
      <c r="D2" s="225"/>
      <c r="E2" s="225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126</v>
      </c>
      <c r="B7" s="221"/>
      <c r="C7" s="221"/>
      <c r="D7" s="221"/>
      <c r="E7" s="221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41</v>
      </c>
      <c r="B9" s="221"/>
      <c r="C9" s="221"/>
      <c r="D9" s="221"/>
      <c r="E9" s="221"/>
      <c r="F9" s="26"/>
    </row>
    <row r="10" spans="1:8" ht="15.75" thickBot="1">
      <c r="A10" s="5"/>
      <c r="B10" s="5"/>
      <c r="C10" s="5"/>
      <c r="D10" s="5"/>
      <c r="E10" s="6"/>
      <c r="F10" s="6"/>
      <c r="H10">
        <v>481.7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115</v>
      </c>
      <c r="C12" s="11" t="s">
        <v>12</v>
      </c>
      <c r="D12" s="12" t="s">
        <v>258</v>
      </c>
      <c r="E12" s="13">
        <f>0.19*8*H10+1.16*4*H10</f>
        <v>2967.2719999999999</v>
      </c>
      <c r="F12" s="40"/>
    </row>
    <row r="13" spans="1:8" ht="51">
      <c r="A13" s="14" t="s">
        <v>37</v>
      </c>
      <c r="B13" s="11" t="s">
        <v>17</v>
      </c>
      <c r="C13" s="11" t="s">
        <v>8</v>
      </c>
      <c r="D13" s="12" t="s">
        <v>243</v>
      </c>
      <c r="E13" s="13">
        <f>0.55*8*H10+0.6*4*H10</f>
        <v>3275.56</v>
      </c>
      <c r="F13" s="40"/>
    </row>
    <row r="14" spans="1:8" ht="48">
      <c r="A14" s="180" t="s">
        <v>208</v>
      </c>
      <c r="B14" s="11" t="s">
        <v>260</v>
      </c>
      <c r="C14" s="11" t="s">
        <v>8</v>
      </c>
      <c r="D14" s="12" t="s">
        <v>259</v>
      </c>
      <c r="E14" s="13">
        <f>2.21*8*H10+0.52*4*H10</f>
        <v>9518.3919999999998</v>
      </c>
      <c r="F14" s="40"/>
    </row>
    <row r="15" spans="1:8" ht="51" customHeight="1">
      <c r="A15" s="180" t="s">
        <v>136</v>
      </c>
      <c r="B15" s="11" t="s">
        <v>260</v>
      </c>
      <c r="C15" s="11" t="s">
        <v>8</v>
      </c>
      <c r="D15" s="12" t="s">
        <v>261</v>
      </c>
      <c r="E15" s="13">
        <f>2.02*8*H10+0.4*4*H10</f>
        <v>8554.9920000000002</v>
      </c>
      <c r="F15" s="40"/>
    </row>
    <row r="16" spans="1:8" ht="51">
      <c r="A16" s="14" t="s">
        <v>13</v>
      </c>
      <c r="B16" s="11" t="s">
        <v>115</v>
      </c>
      <c r="C16" s="11" t="s">
        <v>14</v>
      </c>
      <c r="D16" s="12" t="s">
        <v>262</v>
      </c>
      <c r="E16" s="13">
        <v>3217.76</v>
      </c>
      <c r="F16" s="40"/>
      <c r="G16" s="117"/>
    </row>
    <row r="17" spans="1:7" ht="42" customHeight="1">
      <c r="A17" s="14" t="s">
        <v>15</v>
      </c>
      <c r="B17" s="11" t="s">
        <v>115</v>
      </c>
      <c r="C17" s="11" t="s">
        <v>8</v>
      </c>
      <c r="D17" s="11" t="s">
        <v>263</v>
      </c>
      <c r="E17" s="13">
        <f>4.56*8*H10+5.86*4*H10</f>
        <v>28863.464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 t="s">
        <v>214</v>
      </c>
      <c r="E18" s="13">
        <f>2.48*8*H10+3.18*4*H10</f>
        <v>15684.152</v>
      </c>
      <c r="F18" s="40"/>
    </row>
    <row r="19" spans="1:7">
      <c r="A19" s="14" t="s">
        <v>36</v>
      </c>
      <c r="B19" s="11" t="s">
        <v>115</v>
      </c>
      <c r="C19" s="11" t="s">
        <v>8</v>
      </c>
      <c r="D19" s="12">
        <v>0.36</v>
      </c>
      <c r="E19" s="13">
        <f>D19*8*H10</f>
        <v>1387.2959999999998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246</v>
      </c>
      <c r="E20" s="13">
        <f>0.74*7*H10+0.98*4*H10</f>
        <v>4383.4699999999993</v>
      </c>
      <c r="F20" s="40"/>
    </row>
    <row r="21" spans="1:7" ht="25.5">
      <c r="A21" s="14" t="s">
        <v>20</v>
      </c>
      <c r="B21" s="11" t="s">
        <v>19</v>
      </c>
      <c r="C21" s="11" t="s">
        <v>8</v>
      </c>
      <c r="D21" s="15">
        <v>0.41</v>
      </c>
      <c r="E21" s="13">
        <f>D21*8*H10</f>
        <v>1579.9759999999999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 t="s">
        <v>247</v>
      </c>
      <c r="E22" s="13">
        <f>0.3*7*H10+0.35*4*H10</f>
        <v>1685.95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248</v>
      </c>
      <c r="E23" s="13">
        <v>9671.0300000000007</v>
      </c>
      <c r="F23" s="40"/>
      <c r="G23" s="117"/>
    </row>
    <row r="24" spans="1:7" ht="25.5">
      <c r="A24" s="21" t="s">
        <v>205</v>
      </c>
      <c r="B24" s="22" t="s">
        <v>17</v>
      </c>
      <c r="C24" s="11" t="s">
        <v>8</v>
      </c>
      <c r="D24" s="22">
        <v>1.63</v>
      </c>
      <c r="E24" s="145">
        <f>D24*4*H10</f>
        <v>3140.6839999999997</v>
      </c>
      <c r="F24" s="40"/>
    </row>
    <row r="25" spans="1:7" ht="25.5">
      <c r="A25" s="21" t="s">
        <v>264</v>
      </c>
      <c r="B25" s="22"/>
      <c r="C25" s="22" t="s">
        <v>203</v>
      </c>
      <c r="D25" s="22"/>
      <c r="E25" s="145">
        <v>2296</v>
      </c>
      <c r="F25" s="40"/>
    </row>
    <row r="26" spans="1:7" ht="19.5" thickBot="1">
      <c r="A26" s="16" t="s">
        <v>35</v>
      </c>
      <c r="B26" s="17"/>
      <c r="C26" s="17"/>
      <c r="D26" s="18"/>
      <c r="E26" s="116">
        <f>SUM(E12:E25)</f>
        <v>96225.997999999992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21" t="s">
        <v>424</v>
      </c>
      <c r="B28" s="221"/>
      <c r="C28" s="221"/>
      <c r="D28" s="221"/>
      <c r="E28" s="221"/>
      <c r="F28" s="26"/>
    </row>
    <row r="29" spans="1:7">
      <c r="A29" s="140"/>
      <c r="B29" s="140"/>
      <c r="C29" s="140"/>
      <c r="D29" s="140"/>
      <c r="E29" s="141"/>
      <c r="F29" s="6"/>
    </row>
    <row r="30" spans="1:7" ht="33" customHeight="1">
      <c r="A30" s="221" t="s">
        <v>257</v>
      </c>
      <c r="B30" s="221"/>
      <c r="C30" s="221"/>
      <c r="D30" s="221"/>
      <c r="E30" s="221"/>
      <c r="F30" s="26"/>
    </row>
    <row r="31" spans="1:7">
      <c r="A31" s="119"/>
      <c r="B31" s="119"/>
      <c r="C31" s="119"/>
      <c r="D31" s="119"/>
      <c r="E31" s="119"/>
      <c r="F31" s="6"/>
    </row>
    <row r="32" spans="1:7" ht="33" customHeight="1">
      <c r="A32" s="221" t="s">
        <v>103</v>
      </c>
      <c r="B32" s="221"/>
      <c r="C32" s="221"/>
      <c r="D32" s="221"/>
      <c r="E32" s="221"/>
      <c r="F32" s="27"/>
    </row>
    <row r="33" spans="1:6">
      <c r="A33" s="5"/>
      <c r="B33" s="5"/>
      <c r="C33" s="5"/>
      <c r="D33" s="5"/>
      <c r="E33" s="6"/>
      <c r="F33" s="6"/>
    </row>
    <row r="34" spans="1:6" ht="23.25" customHeight="1">
      <c r="A34" s="222" t="s">
        <v>49</v>
      </c>
      <c r="B34" s="222"/>
      <c r="C34" s="222"/>
      <c r="D34" s="222"/>
      <c r="E34" s="222"/>
      <c r="F34" s="26"/>
    </row>
    <row r="35" spans="1:6">
      <c r="A35" s="5"/>
      <c r="B35" s="5"/>
      <c r="C35" s="5"/>
      <c r="D35" s="5"/>
      <c r="E35" s="6"/>
      <c r="F35" s="6"/>
    </row>
    <row r="36" spans="1:6" ht="30.75" customHeight="1">
      <c r="A36" s="221" t="s">
        <v>24</v>
      </c>
      <c r="B36" s="221"/>
      <c r="C36" s="221"/>
      <c r="D36" s="221"/>
      <c r="E36" s="221"/>
      <c r="F36" s="6"/>
    </row>
    <row r="37" spans="1:6">
      <c r="A37" s="118"/>
      <c r="B37" s="118"/>
      <c r="C37" s="118"/>
      <c r="D37" s="118"/>
      <c r="E37" s="118"/>
      <c r="F37" s="6"/>
    </row>
    <row r="38" spans="1:6">
      <c r="A38" s="223" t="s">
        <v>25</v>
      </c>
      <c r="B38" s="223"/>
      <c r="C38" s="223"/>
      <c r="D38" s="223"/>
      <c r="E38" s="223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220" t="s">
        <v>29</v>
      </c>
      <c r="C40" s="220"/>
      <c r="D40" s="220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220" t="s">
        <v>29</v>
      </c>
      <c r="C44" s="220"/>
      <c r="D44" s="220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3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8:E38"/>
    <mergeCell ref="B40:D40"/>
    <mergeCell ref="A36:E36"/>
  </mergeCells>
  <pageMargins left="0.24" right="0.21" top="0.24" bottom="0.2" header="0.16" footer="0.1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topLeftCell="A9" workbookViewId="0">
      <selection activeCell="F16" sqref="F16:G1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7" style="20" bestFit="1" customWidth="1"/>
    <col min="8" max="8" width="9.140625" customWidth="1"/>
  </cols>
  <sheetData>
    <row r="1" spans="1:8" ht="15.75">
      <c r="A1" s="224" t="s">
        <v>0</v>
      </c>
      <c r="B1" s="224"/>
      <c r="C1" s="224"/>
      <c r="D1" s="224"/>
      <c r="E1" s="224"/>
      <c r="F1" s="29"/>
    </row>
    <row r="2" spans="1:8" ht="36" customHeight="1">
      <c r="A2" s="225" t="s">
        <v>1</v>
      </c>
      <c r="B2" s="225"/>
      <c r="C2" s="225"/>
      <c r="D2" s="225"/>
      <c r="E2" s="225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226" t="s">
        <v>209</v>
      </c>
      <c r="E4" s="226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21" t="s">
        <v>127</v>
      </c>
      <c r="B7" s="221"/>
      <c r="C7" s="221"/>
      <c r="D7" s="221"/>
      <c r="E7" s="221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221" t="s">
        <v>42</v>
      </c>
      <c r="B9" s="221"/>
      <c r="C9" s="221"/>
      <c r="D9" s="221"/>
      <c r="E9" s="221"/>
      <c r="F9" s="26"/>
    </row>
    <row r="10" spans="1:8" ht="15.75" thickBot="1">
      <c r="A10" s="5"/>
      <c r="B10" s="5"/>
      <c r="C10" s="5"/>
      <c r="D10" s="5"/>
      <c r="E10" s="6"/>
      <c r="F10" s="6"/>
      <c r="H10">
        <v>377.5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80" t="s">
        <v>136</v>
      </c>
      <c r="B12" s="12" t="s">
        <v>137</v>
      </c>
      <c r="C12" s="11" t="s">
        <v>8</v>
      </c>
      <c r="D12" s="15">
        <v>0.4</v>
      </c>
      <c r="E12" s="181">
        <f>0.4*12*H10</f>
        <v>1812.0000000000002</v>
      </c>
      <c r="F12" s="39"/>
    </row>
    <row r="13" spans="1:8" ht="48">
      <c r="A13" s="180" t="s">
        <v>208</v>
      </c>
      <c r="B13" s="12" t="s">
        <v>137</v>
      </c>
      <c r="C13" s="11" t="s">
        <v>8</v>
      </c>
      <c r="D13" s="15">
        <v>0.52</v>
      </c>
      <c r="E13" s="181">
        <f>D13*H10*12</f>
        <v>2355.6000000000004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>
        <v>0.79</v>
      </c>
      <c r="E14" s="13">
        <f>D14*12*H10</f>
        <v>3578.7000000000003</v>
      </c>
      <c r="F14" s="40"/>
    </row>
    <row r="15" spans="1:8" ht="51">
      <c r="A15" s="14" t="s">
        <v>37</v>
      </c>
      <c r="B15" s="11" t="s">
        <v>9</v>
      </c>
      <c r="C15" s="11" t="s">
        <v>8</v>
      </c>
      <c r="D15" s="12">
        <v>0.6</v>
      </c>
      <c r="E15" s="13">
        <f>D15*12*H10</f>
        <v>2717.9999999999995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>
        <v>0.78</v>
      </c>
      <c r="E16" s="13">
        <v>3774.65</v>
      </c>
      <c r="F16" s="40"/>
      <c r="G16" s="117"/>
    </row>
    <row r="17" spans="1:7" ht="42" customHeight="1">
      <c r="A17" s="14" t="s">
        <v>15</v>
      </c>
      <c r="B17" s="11" t="s">
        <v>16</v>
      </c>
      <c r="C17" s="11" t="s">
        <v>8</v>
      </c>
      <c r="D17" s="11">
        <v>7.97</v>
      </c>
      <c r="E17" s="13">
        <f>D17*12*H10</f>
        <v>36104.1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2.98</v>
      </c>
      <c r="E18" s="13">
        <f>D18*12*H10</f>
        <v>13499.4</v>
      </c>
      <c r="F18" s="40"/>
    </row>
    <row r="19" spans="1:7">
      <c r="A19" s="14" t="s">
        <v>36</v>
      </c>
      <c r="B19" s="11"/>
      <c r="C19" s="11" t="s">
        <v>8</v>
      </c>
      <c r="D19" s="12">
        <v>0.15</v>
      </c>
      <c r="E19" s="13">
        <v>787.8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>
        <v>0.89</v>
      </c>
      <c r="E20" s="13">
        <f>D20*12*H10</f>
        <v>4031.7</v>
      </c>
      <c r="F20" s="40"/>
    </row>
    <row r="21" spans="1:7" ht="25.5">
      <c r="A21" s="14" t="s">
        <v>20</v>
      </c>
      <c r="B21" s="11" t="s">
        <v>19</v>
      </c>
      <c r="C21" s="11" t="s">
        <v>8</v>
      </c>
      <c r="D21" s="15">
        <v>0.5</v>
      </c>
      <c r="E21" s="13">
        <f>D21*12*H10</f>
        <v>2265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0.32</v>
      </c>
      <c r="E22" s="13">
        <f>D22*12*H10</f>
        <v>1449.6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1.33</v>
      </c>
      <c r="E23" s="13">
        <f>D23*12*H10</f>
        <v>6024.9000000000005</v>
      </c>
      <c r="F23" s="40"/>
      <c r="G23" s="117"/>
    </row>
    <row r="24" spans="1:7">
      <c r="A24" s="21" t="s">
        <v>265</v>
      </c>
      <c r="B24" s="22"/>
      <c r="C24" s="11" t="s">
        <v>203</v>
      </c>
      <c r="D24" s="22"/>
      <c r="E24" s="143">
        <v>139</v>
      </c>
      <c r="F24" s="40"/>
    </row>
    <row r="25" spans="1:7" ht="19.5" thickBot="1">
      <c r="A25" s="16" t="s">
        <v>35</v>
      </c>
      <c r="B25" s="17"/>
      <c r="C25" s="17"/>
      <c r="D25" s="18"/>
      <c r="E25" s="116">
        <f>SUM(E12:E24)</f>
        <v>78540.450000000012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3" customHeight="1">
      <c r="A27" s="221" t="s">
        <v>425</v>
      </c>
      <c r="B27" s="221"/>
      <c r="C27" s="221"/>
      <c r="D27" s="221"/>
      <c r="E27" s="221"/>
      <c r="F27" s="26"/>
    </row>
    <row r="28" spans="1:7">
      <c r="A28" s="140"/>
      <c r="B28" s="140"/>
      <c r="C28" s="140"/>
      <c r="D28" s="140"/>
      <c r="E28" s="141"/>
      <c r="F28" s="6"/>
    </row>
    <row r="29" spans="1:7" ht="45.75" customHeight="1">
      <c r="A29" s="221" t="s">
        <v>266</v>
      </c>
      <c r="B29" s="221"/>
      <c r="C29" s="221"/>
      <c r="D29" s="221"/>
      <c r="E29" s="221"/>
      <c r="F29" s="26"/>
    </row>
    <row r="30" spans="1:7">
      <c r="A30" s="119"/>
      <c r="B30" s="119"/>
      <c r="C30" s="119"/>
      <c r="D30" s="119"/>
      <c r="E30" s="119"/>
      <c r="F30" s="6"/>
    </row>
    <row r="31" spans="1:7" ht="33" customHeight="1">
      <c r="A31" s="221" t="s">
        <v>103</v>
      </c>
      <c r="B31" s="221"/>
      <c r="C31" s="221"/>
      <c r="D31" s="221"/>
      <c r="E31" s="221"/>
      <c r="F31" s="27"/>
    </row>
    <row r="32" spans="1:7">
      <c r="A32" s="5"/>
      <c r="B32" s="5"/>
      <c r="C32" s="5"/>
      <c r="D32" s="5"/>
      <c r="E32" s="6"/>
      <c r="F32" s="6"/>
    </row>
    <row r="33" spans="1:6" ht="19.5" customHeight="1">
      <c r="A33" s="222" t="s">
        <v>49</v>
      </c>
      <c r="B33" s="222"/>
      <c r="C33" s="222"/>
      <c r="D33" s="222"/>
      <c r="E33" s="222"/>
      <c r="F33" s="26"/>
    </row>
    <row r="34" spans="1:6" ht="28.5" customHeight="1">
      <c r="A34" s="5"/>
      <c r="B34" s="5"/>
      <c r="C34" s="5"/>
      <c r="D34" s="5"/>
      <c r="E34" s="6"/>
      <c r="F34" s="118"/>
    </row>
    <row r="35" spans="1:6" ht="28.5" customHeight="1">
      <c r="A35" s="221" t="s">
        <v>24</v>
      </c>
      <c r="B35" s="221"/>
      <c r="C35" s="221"/>
      <c r="D35" s="221"/>
      <c r="E35" s="221"/>
      <c r="F35" s="118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23" t="s">
        <v>25</v>
      </c>
      <c r="B38" s="223"/>
      <c r="C38" s="223"/>
      <c r="D38" s="223"/>
      <c r="E38" s="223"/>
      <c r="F38" s="28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220" t="s">
        <v>29</v>
      </c>
      <c r="C41" s="220"/>
      <c r="D41" s="220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220" t="s">
        <v>29</v>
      </c>
      <c r="C45" s="220"/>
      <c r="D45" s="220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3">
    <mergeCell ref="B45:D45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8:E38"/>
    <mergeCell ref="B41:D41"/>
    <mergeCell ref="A35:E35"/>
  </mergeCells>
  <pageMargins left="0.24" right="0.21" top="0.4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73</vt:i4>
      </vt:variant>
    </vt:vector>
  </HeadingPairs>
  <TitlesOfParts>
    <vt:vector size="73" baseType="lpstr">
      <vt:lpstr>Биол 2-1</vt:lpstr>
      <vt:lpstr>Биол4-1</vt:lpstr>
      <vt:lpstr>Биол 10-1</vt:lpstr>
      <vt:lpstr>готв2-6</vt:lpstr>
      <vt:lpstr>готв4</vt:lpstr>
      <vt:lpstr>готв5</vt:lpstr>
      <vt:lpstr>готв6</vt:lpstr>
      <vt:lpstr>готв7</vt:lpstr>
      <vt:lpstr>готв 8</vt:lpstr>
      <vt:lpstr>готв 9</vt:lpstr>
      <vt:lpstr>готв 11</vt:lpstr>
      <vt:lpstr>готв 13</vt:lpstr>
      <vt:lpstr>готв 15</vt:lpstr>
      <vt:lpstr>гвард8</vt:lpstr>
      <vt:lpstr>гвард16</vt:lpstr>
      <vt:lpstr>дзержин 27</vt:lpstr>
      <vt:lpstr>дзержин 27Б</vt:lpstr>
      <vt:lpstr>добр4</vt:lpstr>
      <vt:lpstr>добр20</vt:lpstr>
      <vt:lpstr>комсомоль1</vt:lpstr>
      <vt:lpstr>комсомоль3а</vt:lpstr>
      <vt:lpstr>комсомоль3</vt:lpstr>
      <vt:lpstr>комсомоль4а</vt:lpstr>
      <vt:lpstr>комсомоль4б</vt:lpstr>
      <vt:lpstr>комсомоль5</vt:lpstr>
      <vt:lpstr>коопер1</vt:lpstr>
      <vt:lpstr>коопер2</vt:lpstr>
      <vt:lpstr>коопер5</vt:lpstr>
      <vt:lpstr>коопер6</vt:lpstr>
      <vt:lpstr>коопер7</vt:lpstr>
      <vt:lpstr>коопер8</vt:lpstr>
      <vt:lpstr>коопер9</vt:lpstr>
      <vt:lpstr>коопер11</vt:lpstr>
      <vt:lpstr>коопер12</vt:lpstr>
      <vt:lpstr>ленинград 2</vt:lpstr>
      <vt:lpstr>ленинград 4</vt:lpstr>
      <vt:lpstr>ленинград 9</vt:lpstr>
      <vt:lpstr>ленинград 10</vt:lpstr>
      <vt:lpstr>ленинград 15</vt:lpstr>
      <vt:lpstr>ленинград17</vt:lpstr>
      <vt:lpstr>ленинград18</vt:lpstr>
      <vt:lpstr>ленинград19</vt:lpstr>
      <vt:lpstr>ленинград21</vt:lpstr>
      <vt:lpstr>ленинград28</vt:lpstr>
      <vt:lpstr>ленинград29</vt:lpstr>
      <vt:lpstr>литейный 1</vt:lpstr>
      <vt:lpstr>литейный 5</vt:lpstr>
      <vt:lpstr>литейный 7</vt:lpstr>
      <vt:lpstr>литейный 9</vt:lpstr>
      <vt:lpstr>литейный 11</vt:lpstr>
      <vt:lpstr>литейный 13</vt:lpstr>
      <vt:lpstr>металл 1</vt:lpstr>
      <vt:lpstr>металл 2</vt:lpstr>
      <vt:lpstr>металл 3</vt:lpstr>
      <vt:lpstr>металл 6</vt:lpstr>
      <vt:lpstr>металл 7</vt:lpstr>
      <vt:lpstr>металл 9</vt:lpstr>
      <vt:lpstr>московская45</vt:lpstr>
      <vt:lpstr>московская47</vt:lpstr>
      <vt:lpstr>московская49</vt:lpstr>
      <vt:lpstr>московская51</vt:lpstr>
      <vt:lpstr>московская53</vt:lpstr>
      <vt:lpstr>московская55</vt:lpstr>
      <vt:lpstr>надежденский 1-1</vt:lpstr>
      <vt:lpstr>надежденский 1-2</vt:lpstr>
      <vt:lpstr>надежденский 1-4</vt:lpstr>
      <vt:lpstr>надежденский 3-2</vt:lpstr>
      <vt:lpstr>объездная7</vt:lpstr>
      <vt:lpstr>фабричный2</vt:lpstr>
      <vt:lpstr>фабричный3</vt:lpstr>
      <vt:lpstr>чкалова 2</vt:lpstr>
      <vt:lpstr>чкалова 33</vt:lpstr>
      <vt:lpstr>чкалова 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Пользователь Windows</cp:lastModifiedBy>
  <cp:lastPrinted>2020-02-21T09:42:12Z</cp:lastPrinted>
  <dcterms:created xsi:type="dcterms:W3CDTF">2016-05-13T06:17:06Z</dcterms:created>
  <dcterms:modified xsi:type="dcterms:W3CDTF">2020-03-19T07:52:04Z</dcterms:modified>
</cp:coreProperties>
</file>